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Y:\Финансовое управление\Рабочие документы\Инвестиционная программа (ИП)\2025\корректировка 2025-2028\"/>
    </mc:Choice>
  </mc:AlternateContent>
  <xr:revisionPtr revIDLastSave="0" documentId="13_ncr:1_{073D4F0E-3177-4284-800C-9DD3D307BD70}" xr6:coauthVersionLast="47" xr6:coauthVersionMax="47" xr10:uidLastSave="{00000000-0000-0000-0000-000000000000}"/>
  <bookViews>
    <workbookView xWindow="1695" yWindow="0" windowWidth="27210" windowHeight="15360" firstSheet="3" activeTab="3" xr2:uid="{00000000-000D-0000-FFFF-FFFF00000000}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externalReferences>
    <externalReference r:id="rId5"/>
  </externalReferences>
  <definedNames>
    <definedName name="_xlnm._FilterDatabase" localSheetId="3" hidden="1">'1'!$A$16:$T$463</definedName>
    <definedName name="_xlnm.Print_Titles" localSheetId="3">'1'!$14:$16</definedName>
    <definedName name="_xlnm.Print_Area" localSheetId="3">'1'!$A$1:$T$467</definedName>
  </definedNames>
  <calcPr calcId="191029"/>
</workbook>
</file>

<file path=xl/calcChain.xml><?xml version="1.0" encoding="utf-8"?>
<calcChain xmlns="http://schemas.openxmlformats.org/spreadsheetml/2006/main">
  <c r="S456" i="13" l="1"/>
  <c r="S454" i="13"/>
  <c r="S453" i="13"/>
  <c r="S450" i="13"/>
  <c r="S440" i="13"/>
  <c r="S434" i="13"/>
  <c r="S413" i="13"/>
  <c r="S407" i="13"/>
  <c r="S406" i="13"/>
  <c r="S405" i="13"/>
  <c r="S394" i="13"/>
  <c r="S391" i="13"/>
  <c r="S389" i="13"/>
  <c r="S383" i="13"/>
  <c r="S382" i="13"/>
  <c r="S381" i="13"/>
  <c r="S380" i="13"/>
  <c r="S356" i="13"/>
  <c r="S191" i="13"/>
  <c r="S196" i="13"/>
  <c r="S193" i="13"/>
  <c r="S166" i="13"/>
  <c r="H159" i="13"/>
  <c r="G159" i="13"/>
  <c r="S159" i="13" s="1"/>
  <c r="J145" i="13"/>
  <c r="I145" i="13"/>
  <c r="H145" i="13"/>
  <c r="G145" i="13"/>
  <c r="G151" i="13"/>
  <c r="S151" i="13" s="1"/>
  <c r="M159" i="13"/>
  <c r="S96" i="13"/>
  <c r="S145" i="13" l="1"/>
  <c r="S80" i="13" l="1"/>
  <c r="S67" i="13"/>
  <c r="S347" i="13"/>
  <c r="R357" i="13"/>
  <c r="Q357" i="13"/>
  <c r="M161" i="13"/>
  <c r="R151" i="13"/>
  <c r="Q151" i="13"/>
  <c r="R144" i="13"/>
  <c r="Q144" i="13"/>
  <c r="O47" i="13"/>
  <c r="O39" i="13"/>
  <c r="Q39" i="13" s="1"/>
  <c r="O231" i="13"/>
  <c r="O56" i="13"/>
  <c r="O55" i="13"/>
  <c r="Q55" i="13" s="1"/>
  <c r="O76" i="13"/>
  <c r="O74" i="13"/>
  <c r="O65" i="13"/>
  <c r="O200" i="13"/>
  <c r="M231" i="13"/>
  <c r="M55" i="13"/>
  <c r="M65" i="13"/>
  <c r="M39" i="13"/>
  <c r="S24" i="13" l="1"/>
  <c r="Q230" i="13"/>
  <c r="O230" i="13"/>
  <c r="O202" i="13"/>
  <c r="O52" i="13"/>
  <c r="M230" i="13"/>
  <c r="M167" i="13"/>
  <c r="M168" i="13"/>
  <c r="L241" i="13"/>
  <c r="M170" i="13" l="1"/>
  <c r="O224" i="13"/>
  <c r="O221" i="13"/>
  <c r="O219" i="13"/>
  <c r="O218" i="13"/>
  <c r="O108" i="13" l="1"/>
  <c r="O107" i="13" s="1"/>
  <c r="Q108" i="13" l="1"/>
  <c r="O80" i="13"/>
  <c r="O78" i="13"/>
  <c r="O75" i="13"/>
  <c r="O71" i="13"/>
  <c r="O72" i="13"/>
  <c r="Q67" i="13"/>
  <c r="R67" i="13" s="1"/>
  <c r="O41" i="13"/>
  <c r="Q107" i="13" l="1"/>
  <c r="R108" i="13"/>
  <c r="R107" i="13" s="1"/>
  <c r="O62" i="13"/>
  <c r="R253" i="13" l="1"/>
  <c r="Q253" i="13"/>
  <c r="R241" i="13"/>
  <c r="Q241" i="13"/>
  <c r="R228" i="13"/>
  <c r="R252" i="13" s="1"/>
  <c r="Q228" i="13"/>
  <c r="Q252" i="13" s="1"/>
  <c r="R221" i="13"/>
  <c r="R219" i="13"/>
  <c r="R218" i="13"/>
  <c r="Q221" i="13"/>
  <c r="Q219" i="13"/>
  <c r="Q218" i="13"/>
  <c r="R209" i="13"/>
  <c r="Q209" i="13"/>
  <c r="Q202" i="13"/>
  <c r="R202" i="13" s="1"/>
  <c r="Q200" i="13"/>
  <c r="Q201" i="13" s="1"/>
  <c r="Q181" i="13"/>
  <c r="Q456" i="13"/>
  <c r="R456" i="13" s="1"/>
  <c r="R406" i="13"/>
  <c r="R407" i="13"/>
  <c r="R383" i="13"/>
  <c r="R382" i="13" s="1"/>
  <c r="Q407" i="13"/>
  <c r="Q406" i="13"/>
  <c r="Q383" i="13"/>
  <c r="Q382" i="13" s="1"/>
  <c r="Q394" i="13"/>
  <c r="P383" i="13"/>
  <c r="P382" i="13" s="1"/>
  <c r="P381" i="13" s="1"/>
  <c r="P380" i="13" s="1"/>
  <c r="P394" i="13"/>
  <c r="P406" i="13"/>
  <c r="P407" i="13"/>
  <c r="N420" i="13"/>
  <c r="N391" i="13"/>
  <c r="N405" i="13"/>
  <c r="Q217" i="13" l="1"/>
  <c r="Q216" i="13" s="1"/>
  <c r="Q249" i="13" s="1"/>
  <c r="R181" i="13"/>
  <c r="R200" i="13"/>
  <c r="R201" i="13" s="1"/>
  <c r="R217" i="13"/>
  <c r="R216" i="13" s="1"/>
  <c r="R249" i="13" s="1"/>
  <c r="Q434" i="13"/>
  <c r="Q381" i="13" s="1"/>
  <c r="Q380" i="13" s="1"/>
  <c r="R434" i="13"/>
  <c r="R381" i="13" s="1"/>
  <c r="R380" i="13" s="1"/>
  <c r="M47" i="13" l="1"/>
  <c r="L73" i="13"/>
  <c r="M50" i="13"/>
  <c r="O50" i="13" s="1"/>
  <c r="M51" i="13"/>
  <c r="O51" i="13" l="1"/>
  <c r="M48" i="13"/>
  <c r="S420" i="13"/>
  <c r="L253" i="13"/>
  <c r="L228" i="13"/>
  <c r="L252" i="13" s="1"/>
  <c r="L216" i="13"/>
  <c r="L249" i="13" s="1"/>
  <c r="L173" i="13"/>
  <c r="L248" i="13" s="1"/>
  <c r="L112" i="13"/>
  <c r="L107" i="13"/>
  <c r="L96" i="13"/>
  <c r="K96" i="13"/>
  <c r="L70" i="13"/>
  <c r="L64" i="13"/>
  <c r="L256" i="13" l="1"/>
  <c r="L258" i="13" s="1"/>
  <c r="L57" i="13"/>
  <c r="L48" i="13"/>
  <c r="L33" i="13"/>
  <c r="K219" i="13" l="1"/>
  <c r="Q63" i="13" l="1"/>
  <c r="R63" i="13" s="1"/>
  <c r="M204" i="13"/>
  <c r="O168" i="13"/>
  <c r="O170" i="13" s="1"/>
  <c r="Q168" i="13" s="1"/>
  <c r="Q170" i="13" s="1"/>
  <c r="R168" i="13" s="1"/>
  <c r="R170" i="13" s="1"/>
  <c r="K168" i="13"/>
  <c r="K167" i="13"/>
  <c r="M206" i="13"/>
  <c r="M205" i="13"/>
  <c r="O217" i="13" l="1"/>
  <c r="M207" i="13"/>
  <c r="O201" i="13"/>
  <c r="M64" i="13"/>
  <c r="M73" i="13"/>
  <c r="M208" i="13" s="1"/>
  <c r="D57" i="13"/>
  <c r="E70" i="13" l="1"/>
  <c r="E73" i="13"/>
  <c r="E57" i="13"/>
  <c r="F33" i="13"/>
  <c r="F48" i="13"/>
  <c r="F57" i="13"/>
  <c r="H57" i="13" l="1"/>
  <c r="H48" i="13"/>
  <c r="Q80" i="13" l="1"/>
  <c r="R80" i="13" s="1"/>
  <c r="K221" i="13" l="1"/>
  <c r="Q47" i="13"/>
  <c r="R47" i="13" s="1"/>
  <c r="O207" i="13" l="1"/>
  <c r="M87" i="13"/>
  <c r="R207" i="13" l="1"/>
  <c r="Q207" i="13"/>
  <c r="O216" i="13"/>
  <c r="J196" i="13"/>
  <c r="H196" i="13"/>
  <c r="H204" i="13" s="1"/>
  <c r="J193" i="13" l="1"/>
  <c r="J204" i="13"/>
  <c r="H193" i="13"/>
  <c r="H191" i="13" s="1"/>
  <c r="F196" i="13"/>
  <c r="E196" i="13"/>
  <c r="J191" i="13" l="1"/>
  <c r="E193" i="13"/>
  <c r="E191" i="13" s="1"/>
  <c r="E204" i="13"/>
  <c r="F204" i="13"/>
  <c r="F193" i="13"/>
  <c r="D196" i="13"/>
  <c r="D204" i="13" l="1"/>
  <c r="D193" i="13"/>
  <c r="D191" i="13" s="1"/>
  <c r="G196" i="13"/>
  <c r="I196" i="13"/>
  <c r="G204" i="13" l="1"/>
  <c r="G193" i="13"/>
  <c r="G191" i="13" s="1"/>
  <c r="I193" i="13"/>
  <c r="I204" i="13"/>
  <c r="G318" i="13"/>
  <c r="I191" i="13" l="1"/>
  <c r="M217" i="13"/>
  <c r="M216" i="13" s="1"/>
  <c r="O454" i="13"/>
  <c r="M454" i="13"/>
  <c r="M453" i="13" s="1"/>
  <c r="K454" i="13"/>
  <c r="K453" i="13" s="1"/>
  <c r="O453" i="13" l="1"/>
  <c r="Q453" i="13" s="1"/>
  <c r="R453" i="13" s="1"/>
  <c r="Q454" i="13"/>
  <c r="R454" i="13" s="1"/>
  <c r="N394" i="13"/>
  <c r="N407" i="13"/>
  <c r="N406" i="13" s="1"/>
  <c r="N383" i="13"/>
  <c r="O450" i="13"/>
  <c r="O407" i="13"/>
  <c r="O406" i="13" s="1"/>
  <c r="O389" i="13"/>
  <c r="O382" i="13"/>
  <c r="M382" i="13"/>
  <c r="M407" i="13"/>
  <c r="M406" i="13" s="1"/>
  <c r="M389" i="13"/>
  <c r="O434" i="13" l="1"/>
  <c r="N382" i="13"/>
  <c r="N381" i="13" s="1"/>
  <c r="N380" i="13" s="1"/>
  <c r="O440" i="13"/>
  <c r="M434" i="13"/>
  <c r="M381" i="13" s="1"/>
  <c r="M380" i="13" s="1"/>
  <c r="O381" i="13"/>
  <c r="O380" i="13" l="1"/>
  <c r="K434" i="13" l="1"/>
  <c r="K413" i="13"/>
  <c r="S352" i="13" l="1"/>
  <c r="S351" i="13"/>
  <c r="H420" i="13" l="1"/>
  <c r="H407" i="13"/>
  <c r="G454" i="13" l="1"/>
  <c r="H450" i="13"/>
  <c r="H440" i="13" s="1"/>
  <c r="G440" i="13"/>
  <c r="G456" i="13" l="1"/>
  <c r="J318" i="13"/>
  <c r="K357" i="13"/>
  <c r="I357" i="13"/>
  <c r="H357" i="13"/>
  <c r="G357" i="13"/>
  <c r="H318" i="13"/>
  <c r="H309" i="13"/>
  <c r="H295" i="13"/>
  <c r="M242" i="13"/>
  <c r="J253" i="13"/>
  <c r="K242" i="13"/>
  <c r="K253" i="13" s="1"/>
  <c r="K217" i="13"/>
  <c r="K216" i="13" s="1"/>
  <c r="K200" i="13"/>
  <c r="O242" i="13" l="1"/>
  <c r="O241" i="13" s="1"/>
  <c r="M241" i="13"/>
  <c r="M169" i="13"/>
  <c r="O167" i="13" s="1"/>
  <c r="O169" i="13" s="1"/>
  <c r="Q167" i="13" s="1"/>
  <c r="Q169" i="13" s="1"/>
  <c r="R167" i="13" s="1"/>
  <c r="R169" i="13" s="1"/>
  <c r="M201" i="13"/>
  <c r="K201" i="13"/>
  <c r="O253" i="13"/>
  <c r="M253" i="13"/>
  <c r="K206" i="13"/>
  <c r="K196" i="13" l="1"/>
  <c r="K193" i="13" s="1"/>
  <c r="K190" i="13"/>
  <c r="I253" i="13"/>
  <c r="G253" i="13"/>
  <c r="S253" i="13" s="1"/>
  <c r="E253" i="13"/>
  <c r="D253" i="13"/>
  <c r="F253" i="13"/>
  <c r="H257" i="13"/>
  <c r="S246" i="13"/>
  <c r="S243" i="13"/>
  <c r="S242" i="13"/>
  <c r="H241" i="13"/>
  <c r="I241" i="13"/>
  <c r="J241" i="13"/>
  <c r="G241" i="13"/>
  <c r="S231" i="13"/>
  <c r="S230" i="13"/>
  <c r="S229" i="13"/>
  <c r="O228" i="13"/>
  <c r="O252" i="13" s="1"/>
  <c r="M228" i="13"/>
  <c r="M252" i="13" s="1"/>
  <c r="K228" i="13"/>
  <c r="E228" i="13"/>
  <c r="F228" i="13"/>
  <c r="F252" i="13" s="1"/>
  <c r="G228" i="13"/>
  <c r="G252" i="13" s="1"/>
  <c r="I228" i="13"/>
  <c r="I252" i="13" s="1"/>
  <c r="J228" i="13"/>
  <c r="J252" i="13" s="1"/>
  <c r="D228" i="13"/>
  <c r="E241" i="13"/>
  <c r="F241" i="13"/>
  <c r="K241" i="13"/>
  <c r="D241" i="13"/>
  <c r="H230" i="13"/>
  <c r="H253" i="13" s="1"/>
  <c r="S224" i="13"/>
  <c r="S223" i="13"/>
  <c r="S221" i="13"/>
  <c r="S219" i="13"/>
  <c r="S218" i="13"/>
  <c r="S217" i="13"/>
  <c r="S215" i="13"/>
  <c r="G216" i="13"/>
  <c r="E216" i="13"/>
  <c r="F216" i="13"/>
  <c r="H216" i="13"/>
  <c r="D216" i="13"/>
  <c r="J216" i="13"/>
  <c r="I216" i="13"/>
  <c r="S200" i="13"/>
  <c r="S201" i="13"/>
  <c r="S202" i="13"/>
  <c r="S207" i="13"/>
  <c r="S210" i="13"/>
  <c r="O209" i="13"/>
  <c r="O249" i="13" s="1"/>
  <c r="M209" i="13"/>
  <c r="M249" i="13" s="1"/>
  <c r="E209" i="13"/>
  <c r="F209" i="13"/>
  <c r="G209" i="13"/>
  <c r="G249" i="13" s="1"/>
  <c r="H209" i="13"/>
  <c r="I209" i="13"/>
  <c r="J209" i="13"/>
  <c r="J249" i="13" s="1"/>
  <c r="K209" i="13"/>
  <c r="K249" i="13" s="1"/>
  <c r="D209" i="13"/>
  <c r="D252" i="13" l="1"/>
  <c r="E252" i="13"/>
  <c r="D249" i="13"/>
  <c r="H249" i="13"/>
  <c r="H228" i="13"/>
  <c r="H252" i="13" s="1"/>
  <c r="K252" i="13"/>
  <c r="E249" i="13"/>
  <c r="F249" i="13"/>
  <c r="I249" i="13"/>
  <c r="S249" i="13" s="1"/>
  <c r="S241" i="13"/>
  <c r="S252" i="13"/>
  <c r="S228" i="13"/>
  <c r="S216" i="13"/>
  <c r="S209" i="13"/>
  <c r="F191" i="13"/>
  <c r="M181" i="13"/>
  <c r="H173" i="13"/>
  <c r="G173" i="13"/>
  <c r="F173" i="13"/>
  <c r="E173" i="13"/>
  <c r="D173" i="13"/>
  <c r="K181" i="13"/>
  <c r="K179" i="13"/>
  <c r="K318" i="13" s="1"/>
  <c r="D248" i="13" l="1"/>
  <c r="D256" i="13" s="1"/>
  <c r="E248" i="13"/>
  <c r="E256" i="13" s="1"/>
  <c r="F248" i="13"/>
  <c r="F256" i="13" s="1"/>
  <c r="G248" i="13"/>
  <c r="G256" i="13" s="1"/>
  <c r="G258" i="13" s="1"/>
  <c r="H248" i="13"/>
  <c r="H256" i="13" s="1"/>
  <c r="H258" i="13" s="1"/>
  <c r="J257" i="13" s="1"/>
  <c r="K173" i="13"/>
  <c r="S170" i="13" l="1"/>
  <c r="S169" i="13"/>
  <c r="S168" i="13"/>
  <c r="S167" i="13"/>
  <c r="M102" i="13" l="1"/>
  <c r="S108" i="13"/>
  <c r="O97" i="13"/>
  <c r="Q75" i="13"/>
  <c r="Q206" i="13" s="1"/>
  <c r="Q72" i="13"/>
  <c r="R72" i="13" s="1"/>
  <c r="J65" i="13"/>
  <c r="I65" i="13"/>
  <c r="H65" i="13"/>
  <c r="G65" i="13"/>
  <c r="S71" i="13" l="1"/>
  <c r="Q71" i="13"/>
  <c r="S78" i="13"/>
  <c r="Q78" i="13"/>
  <c r="R78" i="13" s="1"/>
  <c r="O64" i="13"/>
  <c r="Q65" i="13"/>
  <c r="S74" i="13"/>
  <c r="Q74" i="13"/>
  <c r="R74" i="13" s="1"/>
  <c r="R75" i="13"/>
  <c r="R206" i="13" s="1"/>
  <c r="S97" i="13"/>
  <c r="Q97" i="13"/>
  <c r="S75" i="13"/>
  <c r="O206" i="13"/>
  <c r="S206" i="13" s="1"/>
  <c r="O70" i="13"/>
  <c r="S72" i="13"/>
  <c r="O99" i="13"/>
  <c r="O106" i="13"/>
  <c r="Q106" i="13" s="1"/>
  <c r="R106" i="13" s="1"/>
  <c r="M70" i="13"/>
  <c r="S65" i="13"/>
  <c r="S63" i="13"/>
  <c r="M57" i="13"/>
  <c r="Q56" i="13"/>
  <c r="R56" i="13" s="1"/>
  <c r="T33" i="13"/>
  <c r="S70" i="13" l="1"/>
  <c r="R39" i="13"/>
  <c r="R65" i="13"/>
  <c r="R64" i="13" s="1"/>
  <c r="Q64" i="13"/>
  <c r="Q70" i="13"/>
  <c r="R71" i="13"/>
  <c r="R70" i="13" s="1"/>
  <c r="R97" i="13"/>
  <c r="O102" i="13"/>
  <c r="Q102" i="13" s="1"/>
  <c r="Q99" i="13"/>
  <c r="Q52" i="13"/>
  <c r="M196" i="13"/>
  <c r="M193" i="13" s="1"/>
  <c r="M89" i="13"/>
  <c r="S99" i="13"/>
  <c r="S106" i="13"/>
  <c r="O32" i="13"/>
  <c r="S26" i="13"/>
  <c r="O181" i="13"/>
  <c r="Q51" i="13"/>
  <c r="S39" i="13"/>
  <c r="S56" i="13"/>
  <c r="O190" i="13" l="1"/>
  <c r="R52" i="13"/>
  <c r="R196" i="13" s="1"/>
  <c r="R193" i="13" s="1"/>
  <c r="Q196" i="13"/>
  <c r="Q193" i="13" s="1"/>
  <c r="O205" i="13"/>
  <c r="Q62" i="13"/>
  <c r="Q205" i="13" s="1"/>
  <c r="S32" i="13"/>
  <c r="S18" i="13" s="1"/>
  <c r="Q32" i="13"/>
  <c r="R51" i="13"/>
  <c r="Q24" i="13"/>
  <c r="O89" i="13"/>
  <c r="Q41" i="13"/>
  <c r="R99" i="13"/>
  <c r="R102" i="13"/>
  <c r="O18" i="13"/>
  <c r="W32" i="13" s="1"/>
  <c r="S41" i="13"/>
  <c r="S89" i="13" s="1"/>
  <c r="M318" i="13"/>
  <c r="M173" i="13"/>
  <c r="O357" i="13"/>
  <c r="S357" i="13" s="1"/>
  <c r="O179" i="13"/>
  <c r="O87" i="13"/>
  <c r="O121" i="13" s="1"/>
  <c r="O57" i="13"/>
  <c r="S62" i="13"/>
  <c r="S190" i="13"/>
  <c r="S52" i="13"/>
  <c r="O196" i="13"/>
  <c r="O193" i="13" s="1"/>
  <c r="S51" i="13"/>
  <c r="K107" i="13"/>
  <c r="K102" i="13"/>
  <c r="S102" i="13" s="1"/>
  <c r="K89" i="13"/>
  <c r="K87" i="13"/>
  <c r="K76" i="13"/>
  <c r="K208" i="13" s="1"/>
  <c r="K55" i="13"/>
  <c r="K47" i="13"/>
  <c r="Q190" i="13" l="1"/>
  <c r="W24" i="13"/>
  <c r="W26" i="13"/>
  <c r="Q87" i="13"/>
  <c r="Q121" i="13" s="1"/>
  <c r="Q136" i="13" s="1"/>
  <c r="R24" i="13"/>
  <c r="Q18" i="13"/>
  <c r="X26" i="13" s="1"/>
  <c r="Q179" i="13"/>
  <c r="Q173" i="13" s="1"/>
  <c r="Q312" i="13" s="1"/>
  <c r="Q95" i="13"/>
  <c r="R32" i="13"/>
  <c r="R41" i="13"/>
  <c r="Q89" i="13"/>
  <c r="Q33" i="13"/>
  <c r="R62" i="13"/>
  <c r="Q57" i="13"/>
  <c r="O173" i="13"/>
  <c r="O312" i="13" s="1"/>
  <c r="S87" i="13"/>
  <c r="O136" i="13"/>
  <c r="K112" i="13"/>
  <c r="O112" i="13" s="1"/>
  <c r="O123" i="13" s="1"/>
  <c r="O95" i="13"/>
  <c r="M95" i="13"/>
  <c r="K73" i="13"/>
  <c r="K95" i="13"/>
  <c r="K33" i="13"/>
  <c r="M33" i="13"/>
  <c r="Q204" i="13"/>
  <c r="K70" i="13"/>
  <c r="K64" i="13"/>
  <c r="S64" i="13" s="1"/>
  <c r="O138" i="13" l="1"/>
  <c r="O153" i="13" s="1"/>
  <c r="X32" i="13"/>
  <c r="O151" i="13"/>
  <c r="R95" i="13"/>
  <c r="R190" i="13"/>
  <c r="X24" i="13"/>
  <c r="R57" i="13"/>
  <c r="R205" i="13"/>
  <c r="Q81" i="13"/>
  <c r="R55" i="13"/>
  <c r="Q48" i="13"/>
  <c r="R89" i="13"/>
  <c r="R33" i="13"/>
  <c r="R179" i="13"/>
  <c r="R87" i="13"/>
  <c r="R121" i="13" s="1"/>
  <c r="R136" i="13" s="1"/>
  <c r="R18" i="13"/>
  <c r="Y26" i="13" s="1"/>
  <c r="S112" i="13"/>
  <c r="Q112" i="13"/>
  <c r="Q123" i="13" s="1"/>
  <c r="O48" i="13"/>
  <c r="O204" i="13"/>
  <c r="O105" i="13"/>
  <c r="Q105" i="13" s="1"/>
  <c r="S55" i="13"/>
  <c r="Q76" i="13"/>
  <c r="S107" i="13"/>
  <c r="M105" i="13"/>
  <c r="M96" i="13" s="1"/>
  <c r="O33" i="13"/>
  <c r="O81" i="13" s="1"/>
  <c r="S47" i="13"/>
  <c r="K57" i="13"/>
  <c r="K205" i="13" s="1"/>
  <c r="K50" i="13"/>
  <c r="K48" i="13"/>
  <c r="K204" i="13" s="1"/>
  <c r="M18" i="13"/>
  <c r="L18" i="13"/>
  <c r="L81" i="13" s="1"/>
  <c r="L115" i="13" s="1"/>
  <c r="L145" i="13" s="1"/>
  <c r="L160" i="13" s="1"/>
  <c r="K18" i="13"/>
  <c r="U24" i="13" s="1"/>
  <c r="R173" i="13" l="1"/>
  <c r="R312" i="13" s="1"/>
  <c r="Q138" i="13"/>
  <c r="Q130" i="13" s="1"/>
  <c r="Q203" i="13" s="1"/>
  <c r="R130" i="13"/>
  <c r="R203" i="13" s="1"/>
  <c r="Y24" i="13"/>
  <c r="Y32" i="13"/>
  <c r="V26" i="13"/>
  <c r="M123" i="13" s="1"/>
  <c r="V24" i="13"/>
  <c r="M121" i="13" s="1"/>
  <c r="V32" i="13"/>
  <c r="K191" i="13"/>
  <c r="K248" i="13" s="1"/>
  <c r="K256" i="13" s="1"/>
  <c r="R48" i="13"/>
  <c r="R204" i="13"/>
  <c r="R81" i="13"/>
  <c r="R76" i="13"/>
  <c r="R73" i="13" s="1"/>
  <c r="R208" i="13" s="1"/>
  <c r="Q73" i="13"/>
  <c r="R112" i="13"/>
  <c r="R123" i="13" s="1"/>
  <c r="R105" i="13"/>
  <c r="R96" i="13" s="1"/>
  <c r="Q96" i="13"/>
  <c r="Q115" i="13" s="1"/>
  <c r="Q129" i="13" s="1"/>
  <c r="M81" i="13"/>
  <c r="M115" i="13" s="1"/>
  <c r="M312" i="13"/>
  <c r="K121" i="13"/>
  <c r="K312" i="13"/>
  <c r="S205" i="13"/>
  <c r="S76" i="13"/>
  <c r="S73" i="13" s="1"/>
  <c r="O73" i="13"/>
  <c r="S33" i="13"/>
  <c r="S95" i="13"/>
  <c r="S105" i="13"/>
  <c r="O96" i="13"/>
  <c r="U32" i="13"/>
  <c r="U26" i="13"/>
  <c r="K81" i="13"/>
  <c r="K115" i="13" s="1"/>
  <c r="G171" i="13"/>
  <c r="H102" i="13"/>
  <c r="G57" i="13"/>
  <c r="S57" i="13" s="1"/>
  <c r="I48" i="13"/>
  <c r="G48" i="13"/>
  <c r="E48" i="13"/>
  <c r="D48" i="13"/>
  <c r="I33" i="13"/>
  <c r="H33" i="13"/>
  <c r="G33" i="13"/>
  <c r="E33" i="13"/>
  <c r="D33" i="13"/>
  <c r="E18" i="13"/>
  <c r="E312" i="13" s="1"/>
  <c r="F18" i="13"/>
  <c r="F312" i="13" s="1"/>
  <c r="G18" i="13"/>
  <c r="G312" i="13" s="1"/>
  <c r="H18" i="13"/>
  <c r="H312" i="13" s="1"/>
  <c r="I18" i="13"/>
  <c r="J18" i="13"/>
  <c r="D18" i="13"/>
  <c r="D312" i="13" s="1"/>
  <c r="I181" i="13"/>
  <c r="S181" i="13" s="1"/>
  <c r="I179" i="13"/>
  <c r="J173" i="13"/>
  <c r="J160" i="13"/>
  <c r="J161" i="13" s="1"/>
  <c r="J138" i="13"/>
  <c r="J136" i="13"/>
  <c r="J96" i="13"/>
  <c r="J95" i="13"/>
  <c r="J89" i="13"/>
  <c r="J87" i="13"/>
  <c r="O115" i="13" l="1"/>
  <c r="R115" i="13"/>
  <c r="M138" i="13"/>
  <c r="M153" i="13" s="1"/>
  <c r="Q208" i="13"/>
  <c r="Q191" i="13" s="1"/>
  <c r="Q248" i="13" s="1"/>
  <c r="Q256" i="13" s="1"/>
  <c r="O208" i="13"/>
  <c r="S208" i="13" s="1"/>
  <c r="Q153" i="13"/>
  <c r="R191" i="13"/>
  <c r="R248" i="13" s="1"/>
  <c r="R256" i="13" s="1"/>
  <c r="S50" i="13"/>
  <c r="Q50" i="13"/>
  <c r="R50" i="13" s="1"/>
  <c r="J144" i="13"/>
  <c r="R145" i="13"/>
  <c r="S48" i="13"/>
  <c r="M136" i="13"/>
  <c r="M129" i="13"/>
  <c r="M144" i="13" s="1"/>
  <c r="K138" i="13"/>
  <c r="K136" i="13"/>
  <c r="K130" i="13"/>
  <c r="K145" i="13" s="1"/>
  <c r="K160" i="13" s="1"/>
  <c r="K161" i="13" s="1"/>
  <c r="S121" i="13"/>
  <c r="S81" i="13"/>
  <c r="S115" i="13" s="1"/>
  <c r="S171" i="13" s="1"/>
  <c r="J312" i="13"/>
  <c r="J248" i="13"/>
  <c r="J256" i="13" s="1"/>
  <c r="I318" i="13"/>
  <c r="S179" i="13"/>
  <c r="K153" i="13"/>
  <c r="M166" i="13"/>
  <c r="M171" i="13" s="1"/>
  <c r="I173" i="13"/>
  <c r="K166" i="13"/>
  <c r="K171" i="13" s="1"/>
  <c r="J73" i="13"/>
  <c r="J70" i="13"/>
  <c r="J55" i="13"/>
  <c r="J52" i="13"/>
  <c r="J357" i="13" s="1"/>
  <c r="J51" i="13"/>
  <c r="J50" i="13"/>
  <c r="J33" i="13"/>
  <c r="J81" i="13" s="1"/>
  <c r="J115" i="13" s="1"/>
  <c r="J166" i="13" s="1"/>
  <c r="J171" i="13" s="1"/>
  <c r="O129" i="13" l="1"/>
  <c r="O145" i="13"/>
  <c r="R166" i="13"/>
  <c r="R171" i="13" s="1"/>
  <c r="R129" i="13"/>
  <c r="O144" i="13"/>
  <c r="O130" i="13" s="1"/>
  <c r="M151" i="13"/>
  <c r="M130" i="13"/>
  <c r="M203" i="13" s="1"/>
  <c r="M191" i="13" s="1"/>
  <c r="O166" i="13"/>
  <c r="O171" i="13" s="1"/>
  <c r="R160" i="13"/>
  <c r="R161" i="13" s="1"/>
  <c r="R159" i="13"/>
  <c r="S136" i="13"/>
  <c r="I312" i="13"/>
  <c r="S173" i="13"/>
  <c r="S312" i="13" s="1"/>
  <c r="S153" i="13"/>
  <c r="S138" i="13"/>
  <c r="K129" i="13"/>
  <c r="K144" i="13" s="1"/>
  <c r="K159" i="13" s="1"/>
  <c r="K151" i="13"/>
  <c r="I248" i="13"/>
  <c r="S204" i="13"/>
  <c r="S123" i="13"/>
  <c r="J48" i="13"/>
  <c r="D73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/>
  <c r="G79" i="6"/>
  <c r="G80" i="6"/>
  <c r="G81" i="6"/>
  <c r="G82" i="6"/>
  <c r="G83" i="6"/>
  <c r="G84" i="6"/>
  <c r="G85" i="6"/>
  <c r="G86" i="6"/>
  <c r="G113" i="6" s="1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F191" i="6"/>
  <c r="C192" i="6"/>
  <c r="D192" i="6"/>
  <c r="E192" i="6"/>
  <c r="F192" i="6"/>
  <c r="C196" i="6"/>
  <c r="D196" i="6"/>
  <c r="E196" i="6"/>
  <c r="F196" i="6"/>
  <c r="C197" i="6"/>
  <c r="D197" i="6"/>
  <c r="E197" i="6"/>
  <c r="F197" i="6"/>
  <c r="D198" i="6"/>
  <c r="G198" i="6"/>
  <c r="E198" i="6"/>
  <c r="F198" i="6"/>
  <c r="E199" i="6"/>
  <c r="F199" i="6"/>
  <c r="C200" i="6"/>
  <c r="D200" i="6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E214" i="6"/>
  <c r="F214" i="6"/>
  <c r="C216" i="6"/>
  <c r="D216" i="6"/>
  <c r="E216" i="6"/>
  <c r="F216" i="6"/>
  <c r="C220" i="6"/>
  <c r="C248" i="6" s="1"/>
  <c r="D220" i="6"/>
  <c r="E220" i="6"/>
  <c r="F220" i="6"/>
  <c r="C221" i="6"/>
  <c r="D221" i="6"/>
  <c r="E221" i="6"/>
  <c r="F221" i="6"/>
  <c r="C222" i="6"/>
  <c r="C223" i="6" s="1"/>
  <c r="D222" i="6"/>
  <c r="E222" i="6"/>
  <c r="F222" i="6"/>
  <c r="C224" i="6"/>
  <c r="C254" i="6" s="1"/>
  <c r="D224" i="6"/>
  <c r="E224" i="6"/>
  <c r="F224" i="6"/>
  <c r="C227" i="6"/>
  <c r="D227" i="6"/>
  <c r="D250" i="6" s="1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C234" i="6"/>
  <c r="D234" i="6"/>
  <c r="E234" i="6"/>
  <c r="F234" i="6"/>
  <c r="C235" i="6"/>
  <c r="C236" i="6" s="1"/>
  <c r="C259" i="6" s="1"/>
  <c r="D235" i="6"/>
  <c r="E235" i="6"/>
  <c r="F235" i="6"/>
  <c r="C237" i="6"/>
  <c r="D237" i="6"/>
  <c r="D239" i="6" s="1"/>
  <c r="D215" i="6" s="1"/>
  <c r="G215" i="6" s="1"/>
  <c r="E237" i="6"/>
  <c r="F237" i="6"/>
  <c r="C238" i="6"/>
  <c r="C239" i="6" s="1"/>
  <c r="C215" i="6" s="1"/>
  <c r="D238" i="6"/>
  <c r="E238" i="6"/>
  <c r="F238" i="6"/>
  <c r="F239" i="6" s="1"/>
  <c r="F215" i="6" s="1"/>
  <c r="C240" i="6"/>
  <c r="D240" i="6"/>
  <c r="E240" i="6"/>
  <c r="F240" i="6"/>
  <c r="C241" i="6"/>
  <c r="D241" i="6"/>
  <c r="D242" i="6" s="1"/>
  <c r="E241" i="6"/>
  <c r="F241" i="6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C274" i="6"/>
  <c r="D265" i="6"/>
  <c r="D274" i="6"/>
  <c r="G274" i="6"/>
  <c r="E265" i="6"/>
  <c r="E270" i="6" s="1"/>
  <c r="F265" i="6"/>
  <c r="C266" i="6"/>
  <c r="D266" i="6"/>
  <c r="D270" i="6" s="1"/>
  <c r="E266" i="6"/>
  <c r="F266" i="6"/>
  <c r="C267" i="6"/>
  <c r="D267" i="6"/>
  <c r="E267" i="6"/>
  <c r="E278" i="6" s="1"/>
  <c r="F267" i="6"/>
  <c r="C268" i="6"/>
  <c r="C271" i="6" s="1"/>
  <c r="D268" i="6"/>
  <c r="D271" i="6" s="1"/>
  <c r="E268" i="6"/>
  <c r="F268" i="6"/>
  <c r="F271" i="6" s="1"/>
  <c r="C269" i="6"/>
  <c r="G269" i="6" s="1"/>
  <c r="D269" i="6"/>
  <c r="E269" i="6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C270" i="6"/>
  <c r="D275" i="6"/>
  <c r="G265" i="6"/>
  <c r="G275" i="6"/>
  <c r="G214" i="6" l="1"/>
  <c r="D276" i="6"/>
  <c r="D251" i="6"/>
  <c r="D252" i="6" s="1"/>
  <c r="D249" i="6"/>
  <c r="E276" i="6"/>
  <c r="G200" i="6"/>
  <c r="C279" i="6"/>
  <c r="C276" i="6"/>
  <c r="O159" i="13"/>
  <c r="G196" i="6"/>
  <c r="E275" i="6"/>
  <c r="G216" i="6"/>
  <c r="E274" i="6"/>
  <c r="D278" i="6"/>
  <c r="C277" i="6"/>
  <c r="E239" i="6"/>
  <c r="E215" i="6" s="1"/>
  <c r="E249" i="6"/>
  <c r="G197" i="6"/>
  <c r="C251" i="6"/>
  <c r="C249" i="6"/>
  <c r="E271" i="6"/>
  <c r="E236" i="6"/>
  <c r="E259" i="6" s="1"/>
  <c r="M145" i="13"/>
  <c r="M248" i="13"/>
  <c r="M256" i="13" s="1"/>
  <c r="O203" i="13"/>
  <c r="O191" i="13" s="1"/>
  <c r="S130" i="13"/>
  <c r="S129" i="13"/>
  <c r="S144" i="13"/>
  <c r="E242" i="6"/>
  <c r="E225" i="6" s="1"/>
  <c r="E226" i="6" s="1"/>
  <c r="G192" i="6"/>
  <c r="G268" i="6"/>
  <c r="G271" i="6" s="1"/>
  <c r="E251" i="6"/>
  <c r="E257" i="6" s="1"/>
  <c r="F249" i="6"/>
  <c r="G222" i="6"/>
  <c r="F270" i="6"/>
  <c r="F242" i="6"/>
  <c r="I256" i="13"/>
  <c r="F254" i="6"/>
  <c r="F279" i="6" s="1"/>
  <c r="E223" i="6"/>
  <c r="E250" i="6"/>
  <c r="D236" i="6"/>
  <c r="D259" i="6" s="1"/>
  <c r="D248" i="6"/>
  <c r="D277" i="6" s="1"/>
  <c r="E248" i="6"/>
  <c r="F278" i="6"/>
  <c r="G266" i="6"/>
  <c r="G270" i="6" s="1"/>
  <c r="C242" i="6"/>
  <c r="C225" i="6" s="1"/>
  <c r="C226" i="6" s="1"/>
  <c r="D254" i="6"/>
  <c r="D279" i="6" s="1"/>
  <c r="D253" i="6"/>
  <c r="G220" i="6"/>
  <c r="C250" i="6"/>
  <c r="D223" i="6"/>
  <c r="F236" i="6"/>
  <c r="F259" i="6" s="1"/>
  <c r="F276" i="6"/>
  <c r="C253" i="6"/>
  <c r="C256" i="6" s="1"/>
  <c r="C280" i="6" s="1"/>
  <c r="F253" i="6"/>
  <c r="F248" i="6"/>
  <c r="F277" i="6" s="1"/>
  <c r="G191" i="6"/>
  <c r="D225" i="6"/>
  <c r="D226" i="6" s="1"/>
  <c r="D243" i="6"/>
  <c r="D244" i="6"/>
  <c r="F225" i="6"/>
  <c r="F244" i="6"/>
  <c r="F243" i="6"/>
  <c r="E254" i="6"/>
  <c r="E279" i="6" s="1"/>
  <c r="G267" i="6"/>
  <c r="D199" i="6"/>
  <c r="G199" i="6" s="1"/>
  <c r="E253" i="6"/>
  <c r="F251" i="6"/>
  <c r="F257" i="6" s="1"/>
  <c r="C278" i="6"/>
  <c r="C199" i="6"/>
  <c r="C198" i="6"/>
  <c r="F223" i="6"/>
  <c r="G221" i="6"/>
  <c r="D257" i="6"/>
  <c r="F250" i="6"/>
  <c r="C243" i="6" l="1"/>
  <c r="F256" i="6"/>
  <c r="F280" i="6" s="1"/>
  <c r="G223" i="6"/>
  <c r="C257" i="6"/>
  <c r="C252" i="6"/>
  <c r="E252" i="6"/>
  <c r="E243" i="6"/>
  <c r="E244" i="6"/>
  <c r="O160" i="13"/>
  <c r="O161" i="13" s="1"/>
  <c r="M160" i="13"/>
  <c r="S203" i="13"/>
  <c r="O248" i="13"/>
  <c r="O256" i="13" s="1"/>
  <c r="G248" i="6"/>
  <c r="I258" i="13"/>
  <c r="K257" i="13" s="1"/>
  <c r="K258" i="13" s="1"/>
  <c r="M257" i="13" s="1"/>
  <c r="M258" i="13" s="1"/>
  <c r="O257" i="13" s="1"/>
  <c r="S257" i="13" s="1"/>
  <c r="E277" i="6"/>
  <c r="C255" i="6"/>
  <c r="D256" i="6"/>
  <c r="D280" i="6" s="1"/>
  <c r="C244" i="6"/>
  <c r="D255" i="6"/>
  <c r="F252" i="6"/>
  <c r="E255" i="6"/>
  <c r="E256" i="6"/>
  <c r="E280" i="6" s="1"/>
  <c r="F255" i="6"/>
  <c r="S161" i="13" l="1"/>
  <c r="S160" i="13"/>
  <c r="S248" i="13"/>
  <c r="O258" i="13" l="1"/>
  <c r="S256" i="13"/>
  <c r="S258" i="13" l="1"/>
  <c r="Q257" i="13"/>
  <c r="Q258" i="13" s="1"/>
  <c r="R257" i="13" s="1"/>
  <c r="R258" i="13" s="1"/>
  <c r="Q145" i="13"/>
  <c r="Q161" i="13" s="1"/>
  <c r="Q166" i="13"/>
  <c r="Q171" i="13" s="1"/>
  <c r="Q159" i="13" l="1"/>
  <c r="Q160" i="1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MenskayaMV</author>
  </authors>
  <commentList>
    <comment ref="H271" authorId="0" shapeId="0" xr:uid="{25A0C7A0-D2AF-4CF1-B5C0-1D1F25E5D546}">
      <text>
        <r>
          <rPr>
            <b/>
            <sz val="9"/>
            <color indexed="81"/>
            <rFont val="Tahoma"/>
            <family val="2"/>
            <charset val="204"/>
          </rPr>
          <t>MenskayaMV:</t>
        </r>
        <r>
          <rPr>
            <sz val="9"/>
            <color indexed="81"/>
            <rFont val="Tahoma"/>
            <family val="2"/>
            <charset val="204"/>
          </rPr>
          <t xml:space="preserve">
по данным Борисовской: дебиторка за вычетом резерва
</t>
        </r>
      </text>
    </comment>
    <comment ref="H347" authorId="0" shapeId="0" xr:uid="{859262D2-9AFC-4588-9380-66A7A410FB0B}">
      <text>
        <r>
          <rPr>
            <b/>
            <sz val="9"/>
            <color indexed="81"/>
            <rFont val="Tahoma"/>
            <family val="2"/>
            <charset val="204"/>
          </rPr>
          <t>MenskayaMV:</t>
        </r>
        <r>
          <rPr>
            <sz val="9"/>
            <color indexed="81"/>
            <rFont val="Tahoma"/>
            <family val="2"/>
            <charset val="204"/>
          </rPr>
          <t xml:space="preserve">
информация от Самохиной по 46-ЭЭ
</t>
        </r>
      </text>
    </comment>
    <comment ref="N434" authorId="0" shapeId="0" xr:uid="{3B226A09-2EBC-4893-B310-CD2460D3FE1A}">
      <text>
        <r>
          <rPr>
            <b/>
            <sz val="9"/>
            <color indexed="81"/>
            <rFont val="Tahoma"/>
            <family val="2"/>
            <charset val="204"/>
          </rPr>
          <t>MenskayaMV:</t>
        </r>
        <r>
          <rPr>
            <sz val="9"/>
            <color indexed="81"/>
            <rFont val="Tahoma"/>
            <family val="2"/>
            <charset val="204"/>
          </rPr>
          <t xml:space="preserve">
с учетом необлагаемых НДС объектов по ТП
</t>
        </r>
      </text>
    </comment>
    <comment ref="J453" authorId="0" shapeId="0" xr:uid="{1BF2EE8E-70D0-4F8A-8C33-20E89816356C}">
      <text>
        <r>
          <rPr>
            <b/>
            <sz val="9"/>
            <color indexed="81"/>
            <rFont val="Tahoma"/>
            <family val="2"/>
            <charset val="204"/>
          </rPr>
          <t>MenskayaMV:</t>
        </r>
        <r>
          <rPr>
            <sz val="9"/>
            <color indexed="81"/>
            <rFont val="Tahoma"/>
            <family val="2"/>
            <charset val="204"/>
          </rPr>
          <t xml:space="preserve">
представляется в годовом отчете по  расчетам к тарифу Фоменко А.Ю.
</t>
        </r>
      </text>
    </comment>
    <comment ref="J454" authorId="0" shapeId="0" xr:uid="{FC59D811-0393-454A-A0E5-F9A3304FF2D8}">
      <text>
        <r>
          <rPr>
            <b/>
            <sz val="9"/>
            <color indexed="81"/>
            <rFont val="Tahoma"/>
            <family val="2"/>
            <charset val="204"/>
          </rPr>
          <t>MenskayaMV:</t>
        </r>
        <r>
          <rPr>
            <sz val="9"/>
            <color indexed="81"/>
            <rFont val="Tahoma"/>
            <family val="2"/>
            <charset val="204"/>
          </rPr>
          <t xml:space="preserve">
представляется в годовом отчете по  расчетам к тарифу Фоменко А.Ю.
</t>
        </r>
      </text>
    </comment>
    <comment ref="J456" authorId="0" shapeId="0" xr:uid="{FE1EBAA7-1867-4AD6-864C-062611EBC730}">
      <text>
        <r>
          <rPr>
            <b/>
            <sz val="9"/>
            <color indexed="81"/>
            <rFont val="Tahoma"/>
            <family val="2"/>
            <charset val="204"/>
          </rPr>
          <t>MenskayaMV:</t>
        </r>
        <r>
          <rPr>
            <sz val="9"/>
            <color indexed="81"/>
            <rFont val="Tahoma"/>
            <family val="2"/>
            <charset val="204"/>
          </rPr>
          <t xml:space="preserve">
представляется в годовом отчете по  расчетам к тарифу Фоменко А.Ю.
</t>
        </r>
      </text>
    </comment>
  </commentList>
</comments>
</file>

<file path=xl/sharedStrings.xml><?xml version="1.0" encoding="utf-8"?>
<sst xmlns="http://schemas.openxmlformats.org/spreadsheetml/2006/main" count="6625" uniqueCount="1194">
  <si>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</si>
  <si>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</si>
  <si>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</si>
  <si>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</si>
  <si>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</si>
  <si>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</si>
  <si>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</si>
  <si>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</si>
  <si>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</si>
  <si>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</si>
  <si>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</si>
  <si>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</si>
  <si>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</si>
  <si>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</si>
  <si>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</si>
  <si>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</si>
  <si>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</si>
  <si>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</si>
  <si>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</si>
  <si>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</si>
  <si>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</si>
  <si>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</si>
  <si>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</si>
  <si>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</si>
  <si>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</si>
  <si>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</si>
  <si>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</si>
  <si>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</si>
  <si>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</si>
  <si>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</si>
  <si>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</si>
  <si>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</si>
  <si>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</si>
  <si>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</si>
  <si>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</si>
  <si>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</si>
  <si>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</si>
  <si>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</si>
  <si>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</si>
  <si>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</si>
  <si>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</si>
  <si>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</si>
  <si>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</si>
  <si>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</si>
  <si>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</si>
  <si>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</si>
  <si>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</si>
  <si>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</si>
  <si>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</si>
  <si>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</si>
  <si>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</si>
  <si>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</si>
  <si>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</si>
  <si>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</si>
  <si>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</si>
  <si>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</si>
  <si>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</si>
  <si>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</si>
  <si>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</si>
  <si>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</si>
  <si>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</si>
  <si>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</si>
  <si>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</si>
  <si>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</si>
  <si>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</si>
  <si>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</si>
  <si>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</si>
  <si>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</si>
  <si>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</si>
  <si>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</si>
  <si>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</si>
  <si>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</si>
  <si>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</si>
  <si>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</si>
  <si>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</si>
  <si>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</si>
  <si>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</si>
  <si>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</si>
  <si>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</si>
  <si>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</si>
  <si>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</si>
  <si>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</si>
  <si>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</si>
  <si>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</si>
  <si>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</si>
  <si>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</si>
  <si>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</si>
  <si>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</si>
  <si>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</si>
  <si>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</si>
  <si>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</si>
  <si>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</si>
  <si>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</si>
  <si>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</si>
  <si>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</si>
  <si>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</si>
  <si>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</si>
  <si>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</si>
  <si>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</si>
  <si>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</si>
  <si>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</si>
  <si>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</si>
  <si>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</si>
  <si>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</si>
  <si>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</si>
  <si>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</si>
  <si>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</si>
  <si>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</si>
  <si>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</si>
  <si>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</si>
  <si>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</si>
  <si>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</si>
  <si>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</si>
  <si>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</si>
  <si>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</si>
  <si>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</si>
  <si>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</si>
  <si>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</si>
  <si>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</si>
  <si>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</si>
  <si>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</si>
  <si>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</si>
  <si>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</si>
  <si>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</si>
  <si>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</si>
  <si>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</si>
  <si>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</si>
  <si>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</si>
  <si>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</si>
  <si>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</si>
  <si>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</si>
  <si>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</si>
  <si>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</si>
  <si>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</si>
  <si>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</si>
  <si>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</si>
  <si>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</si>
  <si>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</si>
  <si>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</si>
  <si>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</si>
  <si>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</si>
  <si>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</si>
  <si>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</si>
  <si>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</si>
  <si>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</si>
  <si>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</si>
  <si>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</si>
  <si>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</si>
  <si>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</si>
  <si>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</si>
  <si>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</si>
  <si>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</si>
  <si>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</si>
  <si>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</si>
  <si>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</si>
  <si>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</si>
  <si>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</si>
  <si>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</si>
  <si>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</si>
  <si>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</si>
  <si>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</si>
  <si>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</si>
  <si>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</si>
  <si>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</si>
  <si>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</si>
  <si>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</si>
  <si>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</si>
  <si>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</si>
  <si>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</si>
  <si>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</si>
  <si>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</si>
  <si>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</si>
  <si>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</si>
  <si>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</si>
  <si>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</si>
  <si>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</si>
  <si>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</si>
  <si>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</si>
  <si>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</si>
  <si>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</si>
  <si>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</si>
  <si>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</si>
  <si>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</si>
  <si>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</si>
  <si>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</si>
  <si>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</si>
  <si>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</si>
  <si>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</si>
  <si>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</si>
  <si>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</si>
  <si>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</si>
  <si>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</si>
  <si>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</si>
  <si>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</si>
  <si>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</si>
  <si>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</si>
  <si>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</si>
  <si>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</si>
  <si>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</si>
  <si>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</si>
  <si>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</si>
  <si>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</si>
  <si>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</si>
  <si>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</si>
  <si>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</si>
  <si>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</si>
  <si>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</si>
  <si>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</si>
  <si>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</si>
  <si>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</si>
  <si>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</si>
  <si>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</si>
  <si>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</si>
  <si>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</si>
  <si>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</si>
  <si>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</si>
  <si>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</si>
  <si>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</si>
  <si>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</si>
  <si>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</si>
  <si>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</si>
  <si>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</si>
  <si>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</si>
  <si>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</si>
  <si>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</si>
  <si>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</si>
  <si>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</si>
  <si>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</si>
  <si>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</si>
  <si>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</si>
  <si>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</si>
  <si>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</si>
  <si>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</si>
  <si>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</si>
  <si>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</si>
  <si>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</si>
  <si>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</si>
  <si>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</si>
  <si>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</si>
  <si>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</si>
  <si>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</si>
  <si>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</si>
  <si>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</si>
  <si>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</si>
  <si>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</si>
  <si>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</si>
  <si>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</si>
  <si>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</si>
  <si>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</si>
  <si>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</si>
  <si>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</si>
  <si>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</si>
  <si>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</si>
  <si>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</si>
  <si>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</si>
  <si>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</si>
  <si>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</si>
  <si>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</si>
  <si>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</si>
  <si>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</si>
  <si>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</si>
  <si>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</si>
  <si>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</si>
  <si>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</si>
  <si>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</si>
  <si>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</si>
  <si>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</si>
  <si>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</si>
  <si>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</si>
  <si>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</si>
  <si>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</si>
  <si>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</si>
  <si>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</si>
  <si>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</si>
  <si>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</si>
  <si>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</si>
  <si>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</si>
  <si>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</si>
  <si>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</si>
  <si>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</si>
  <si>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</si>
  <si>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</si>
  <si>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</si>
  <si>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</si>
  <si>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</si>
  <si>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</si>
  <si>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</si>
  <si>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</si>
  <si>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</si>
  <si>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</si>
  <si>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</si>
  <si>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</si>
  <si>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</si>
  <si>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</si>
  <si>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</si>
  <si>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</si>
  <si>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</si>
  <si>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</si>
  <si>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</si>
  <si>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</si>
  <si>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</si>
  <si>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</si>
  <si>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</si>
  <si>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</si>
  <si>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</si>
  <si>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</si>
  <si>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</si>
  <si>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</si>
  <si>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</si>
  <si>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</si>
  <si>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</si>
  <si>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</si>
  <si>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</si>
  <si>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</si>
  <si>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</si>
  <si>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</si>
  <si>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</si>
  <si>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</si>
  <si>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</si>
  <si>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</si>
  <si>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</si>
  <si>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</si>
  <si>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</si>
  <si>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</si>
  <si>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</si>
  <si>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</si>
  <si>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</si>
  <si>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</si>
  <si>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</si>
  <si>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</si>
  <si>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</si>
  <si>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</si>
  <si>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</si>
  <si>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</si>
  <si>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</si>
  <si>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</si>
  <si>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</si>
  <si>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</si>
  <si>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</si>
  <si>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</si>
  <si>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</si>
  <si>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</si>
  <si>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</si>
  <si>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</si>
  <si>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</si>
  <si>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</si>
  <si>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</si>
  <si>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</si>
  <si>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</si>
  <si>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</si>
  <si>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</si>
  <si>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</si>
  <si>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</si>
  <si>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</si>
  <si>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</si>
  <si>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</si>
  <si>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</si>
  <si>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</si>
  <si>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</si>
  <si>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</si>
  <si>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</si>
  <si>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</si>
  <si>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</si>
  <si>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</si>
  <si>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</si>
  <si>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</si>
  <si>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</si>
  <si>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</si>
  <si>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</si>
  <si>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</si>
  <si>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</si>
  <si>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</si>
  <si>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</si>
  <si>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</si>
  <si>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</si>
  <si>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</si>
  <si>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</si>
  <si>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</si>
  <si>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</si>
  <si>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</si>
  <si>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</si>
  <si>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</si>
  <si>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</si>
  <si>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</si>
  <si>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</si>
  <si>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</si>
  <si>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</si>
  <si>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</si>
  <si>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</si>
  <si>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</si>
  <si>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</si>
  <si>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</si>
  <si>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</si>
  <si>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</si>
  <si>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</si>
  <si>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</si>
  <si>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</si>
  <si>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</si>
  <si>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</si>
  <si>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</si>
  <si>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</si>
  <si>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</si>
  <si>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</si>
  <si>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</si>
  <si>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</si>
  <si>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</si>
  <si>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</si>
  <si>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</si>
  <si>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</si>
  <si>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</si>
  <si>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</si>
  <si>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</si>
  <si>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</si>
  <si>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</si>
  <si>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</si>
  <si>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</si>
  <si>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</si>
  <si>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</si>
  <si>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</si>
  <si>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</si>
  <si>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</si>
  <si>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</si>
  <si>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</si>
  <si>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</si>
  <si>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</si>
  <si>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</si>
  <si>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</si>
  <si>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</si>
  <si>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</si>
  <si>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</si>
  <si>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</si>
  <si>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</si>
  <si>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</si>
  <si>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</si>
  <si>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</si>
  <si>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</si>
  <si>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</si>
  <si>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</si>
  <si>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</si>
  <si>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</si>
  <si>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</si>
  <si>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</si>
  <si>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</si>
  <si>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</si>
  <si>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</si>
  <si>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</si>
  <si>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</si>
  <si>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</si>
  <si>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</si>
  <si>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</si>
  <si>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</si>
  <si>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</si>
  <si>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</si>
  <si>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</si>
  <si>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</si>
  <si>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</si>
  <si>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</si>
  <si>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</si>
  <si>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</si>
  <si>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</si>
  <si>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</si>
  <si>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</si>
  <si>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</si>
  <si>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</si>
  <si>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</si>
  <si>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</si>
  <si>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</si>
  <si>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</si>
  <si>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</si>
  <si>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</si>
  <si>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</si>
  <si>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</si>
  <si>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</si>
  <si>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</si>
  <si>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</si>
  <si>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</si>
  <si>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</si>
  <si>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</si>
  <si>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</si>
  <si>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</si>
  <si>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</si>
  <si>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</si>
  <si>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</si>
  <si>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</si>
  <si>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</si>
  <si>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</si>
  <si>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</si>
  <si>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</si>
  <si>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</si>
  <si>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</si>
  <si>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</si>
  <si>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</si>
  <si>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</si>
  <si>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</si>
  <si>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</si>
  <si>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</si>
  <si>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</si>
  <si>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</si>
  <si>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</si>
  <si>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</si>
  <si>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</si>
  <si>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</si>
  <si>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</si>
  <si>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</si>
  <si>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</si>
  <si>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</si>
  <si>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</si>
  <si>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</si>
  <si>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</si>
  <si>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</si>
  <si>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</si>
  <si>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</si>
  <si>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</si>
  <si>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</si>
  <si>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</si>
  <si>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</si>
  <si>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</si>
  <si>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</si>
  <si>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</si>
  <si>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</si>
  <si>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</si>
  <si>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</si>
  <si>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</si>
  <si>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</si>
  <si>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</si>
  <si>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</si>
  <si>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</si>
  <si>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</si>
  <si>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</si>
  <si>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</si>
  <si>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</si>
  <si>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</si>
  <si>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</si>
  <si>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</si>
  <si>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</si>
  <si>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</si>
  <si>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</si>
  <si>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</si>
  <si>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</si>
  <si>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</si>
  <si>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</si>
  <si>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</si>
  <si>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</si>
  <si>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</si>
  <si>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</si>
  <si>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</si>
  <si>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</si>
  <si>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</si>
  <si>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</si>
  <si>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</si>
  <si>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</si>
  <si>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</si>
  <si>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</si>
  <si>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</si>
  <si>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</si>
  <si>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</si>
  <si>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</si>
  <si>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</si>
  <si>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</si>
  <si>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</si>
  <si>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</si>
  <si>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</si>
  <si>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</si>
  <si>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</si>
  <si>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</si>
  <si>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</si>
  <si>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</si>
  <si>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</si>
  <si>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</si>
  <si>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</si>
  <si>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</si>
  <si>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</si>
  <si>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</si>
  <si>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</si>
  <si>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</si>
  <si>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</si>
  <si>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</si>
  <si>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</si>
  <si>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</si>
  <si>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</si>
  <si>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</si>
  <si>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</si>
  <si>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</si>
  <si>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</si>
  <si>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</si>
  <si>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</si>
  <si>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</si>
  <si>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</si>
  <si>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</si>
  <si>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</si>
  <si>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</si>
  <si>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</si>
  <si>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</si>
  <si>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</si>
  <si>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</si>
  <si>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</si>
  <si>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</si>
  <si>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</si>
  <si>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</si>
  <si>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</si>
  <si>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</si>
  <si>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</si>
  <si>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</si>
  <si>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</si>
  <si>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</si>
  <si>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</si>
  <si>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</si>
  <si>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</si>
  <si>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</si>
  <si>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</si>
  <si>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</si>
  <si>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</si>
  <si>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</si>
  <si>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</si>
  <si>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</si>
  <si>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</si>
  <si>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</si>
  <si>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</si>
  <si>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</si>
  <si>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</si>
  <si>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</si>
  <si>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</si>
  <si>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</si>
  <si>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</si>
  <si>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</si>
  <si>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</si>
  <si>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</si>
  <si>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</si>
  <si>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</si>
  <si>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</si>
  <si>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</si>
  <si>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</si>
  <si>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</si>
  <si>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</si>
  <si>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</si>
  <si>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</si>
  <si>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</si>
  <si>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</si>
  <si>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</si>
  <si>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</si>
  <si>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</si>
  <si>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</si>
  <si>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</si>
  <si>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</si>
  <si>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</si>
  <si>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</si>
  <si>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</si>
  <si>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</si>
  <si>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</si>
  <si>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</si>
  <si>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</si>
  <si>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</si>
  <si>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</si>
  <si>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</si>
  <si>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</si>
  <si>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</si>
  <si>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</si>
  <si>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</si>
  <si>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</si>
  <si>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</si>
  <si>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</si>
  <si>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</si>
  <si>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</si>
  <si>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</si>
  <si>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</si>
  <si>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</si>
  <si>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</si>
  <si>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</si>
  <si>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</si>
  <si>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</si>
  <si>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</si>
  <si>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</si>
  <si>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</si>
  <si>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</si>
  <si>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</si>
  <si>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</si>
  <si>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</si>
  <si>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</si>
  <si>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</si>
  <si>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</si>
  <si>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</si>
  <si>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</si>
  <si>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</si>
  <si>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</si>
  <si>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</si>
  <si>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</si>
  <si>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</si>
  <si>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</si>
  <si>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</si>
  <si>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</si>
  <si>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</si>
  <si>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</si>
  <si>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</si>
  <si>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</si>
  <si>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</si>
  <si>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</si>
  <si>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</si>
  <si>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</si>
  <si>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</si>
  <si>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</si>
  <si>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</si>
  <si>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</si>
  <si>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</si>
  <si>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</si>
  <si>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</si>
  <si>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</si>
  <si>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</si>
  <si>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</si>
  <si>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</si>
  <si>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</si>
  <si>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</si>
  <si>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</si>
  <si>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</si>
  <si>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</si>
  <si>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</si>
  <si>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</si>
  <si>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</si>
  <si>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</si>
  <si>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</si>
  <si>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</si>
  <si>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</si>
  <si>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</si>
  <si>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</si>
  <si>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</si>
  <si>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</si>
  <si>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</si>
  <si>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</si>
  <si>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</si>
  <si>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</si>
  <si>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</si>
  <si>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</si>
  <si>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</si>
  <si>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</si>
  <si>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</si>
  <si>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</si>
  <si>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</si>
  <si>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</si>
  <si>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</si>
  <si>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</si>
  <si>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</si>
  <si>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</si>
  <si>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</si>
  <si>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</si>
  <si>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</si>
  <si>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</si>
  <si>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</si>
  <si>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</si>
  <si>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</si>
  <si>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</si>
  <si>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</si>
  <si>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</si>
  <si>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</si>
  <si>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</si>
  <si>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</si>
  <si>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</si>
  <si>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</si>
  <si>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</si>
  <si>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</si>
  <si>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</si>
  <si>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</si>
  <si>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</si>
  <si>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</si>
  <si>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</si>
  <si>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</si>
  <si>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</si>
  <si>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</si>
  <si>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</si>
  <si>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</si>
  <si>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</si>
  <si>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</si>
  <si>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</si>
  <si>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</si>
  <si>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</si>
  <si>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</si>
  <si>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</si>
  <si>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</si>
  <si>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</si>
  <si>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</si>
  <si>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</si>
  <si>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</si>
  <si>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</si>
  <si>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</si>
  <si>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</si>
  <si>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</si>
  <si>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</si>
  <si>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</si>
  <si>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</si>
  <si>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</si>
  <si>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</si>
  <si>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</si>
  <si>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</si>
  <si>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</si>
  <si>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</si>
  <si>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</si>
  <si>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</si>
  <si>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</si>
  <si>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</si>
  <si>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</si>
  <si>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</si>
  <si>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</si>
  <si>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</si>
  <si>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</si>
  <si>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</si>
  <si>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</si>
  <si>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</si>
  <si>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</si>
  <si>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</si>
  <si>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</si>
  <si>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</si>
  <si>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</si>
  <si>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</si>
  <si>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</si>
  <si>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</si>
  <si>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</si>
  <si>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</si>
  <si>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</si>
  <si>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</si>
  <si>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</si>
  <si>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</si>
  <si>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</si>
  <si>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</si>
  <si>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</si>
  <si>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</si>
  <si>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</si>
  <si>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</si>
  <si>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</si>
  <si>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</si>
  <si>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</si>
  <si>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</si>
  <si>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</si>
  <si>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</si>
  <si>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</si>
  <si>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</si>
  <si>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</si>
  <si>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</si>
  <si>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</si>
  <si>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</si>
  <si>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</si>
  <si>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</si>
  <si>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</si>
  <si>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</si>
  <si>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</si>
  <si>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</si>
  <si>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</si>
  <si>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</si>
  <si>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</si>
  <si>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</si>
  <si>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</si>
  <si>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</si>
  <si>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</si>
  <si>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</si>
  <si>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</si>
  <si>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</si>
  <si>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</si>
  <si>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</si>
  <si>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</si>
  <si>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</si>
  <si>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</si>
  <si>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</si>
  <si>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</si>
  <si>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</si>
  <si>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</si>
  <si>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</si>
  <si>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</si>
  <si>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</si>
  <si>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</si>
  <si>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</si>
  <si>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</si>
  <si>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</si>
  <si>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</si>
  <si>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</si>
  <si>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</si>
  <si>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</si>
  <si>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</si>
  <si>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</si>
  <si>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</si>
  <si>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</si>
  <si>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</si>
  <si>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</si>
  <si>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</si>
  <si>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</si>
  <si>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</si>
  <si>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</si>
  <si>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</si>
  <si>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</si>
  <si>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</si>
  <si>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</si>
  <si>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</si>
  <si>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</si>
  <si>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</si>
  <si>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</si>
  <si>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</si>
  <si>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</si>
  <si>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</si>
  <si>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</si>
  <si>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</si>
  <si>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</si>
  <si>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</si>
  <si>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</si>
  <si>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</si>
  <si>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</si>
  <si>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</si>
  <si>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</si>
  <si>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</si>
  <si>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</si>
  <si>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</si>
  <si>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</si>
  <si>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</si>
  <si>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</si>
  <si>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</si>
  <si>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</si>
  <si>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</si>
  <si>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</si>
  <si>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</si>
  <si>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</si>
  <si>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</si>
  <si>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</si>
  <si>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</si>
  <si>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</si>
  <si>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</si>
  <si>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</si>
  <si>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</si>
  <si>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</si>
  <si>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</si>
  <si>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</si>
  <si>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</si>
  <si>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</si>
  <si>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</si>
  <si>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</si>
  <si>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</si>
  <si>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</si>
  <si>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</si>
  <si>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</si>
  <si>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</si>
  <si>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</si>
  <si>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</si>
  <si>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</si>
  <si>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</si>
  <si>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</si>
  <si>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</si>
  <si>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</si>
  <si>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</si>
  <si>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</si>
  <si>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</si>
  <si>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</si>
  <si>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</si>
  <si>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</si>
  <si>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</si>
  <si>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</si>
  <si>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</si>
  <si>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</si>
  <si>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</si>
  <si>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</si>
  <si>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</si>
  <si>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</si>
  <si>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</si>
  <si>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</si>
  <si>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</si>
  <si>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</si>
  <si>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</si>
  <si>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</si>
  <si>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</si>
  <si>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</si>
  <si>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</si>
  <si>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</si>
  <si>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</si>
  <si>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</si>
  <si>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</si>
  <si>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</si>
  <si>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</si>
  <si>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</si>
  <si>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</si>
  <si>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</si>
  <si>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</si>
  <si>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</si>
  <si>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</si>
  <si>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</si>
  <si>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</si>
  <si>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</si>
  <si>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</si>
  <si>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</si>
  <si>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</si>
  <si>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</si>
  <si>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</si>
  <si>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</si>
  <si>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</si>
  <si>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</si>
  <si>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</si>
  <si>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</si>
  <si>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</si>
  <si>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</si>
  <si>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</si>
  <si>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</si>
  <si>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</si>
  <si>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</si>
  <si>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</si>
  <si>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</si>
  <si>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</si>
  <si>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</si>
  <si>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</si>
  <si>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</si>
  <si>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</si>
  <si>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</si>
  <si>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</si>
  <si>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</si>
  <si>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</si>
  <si>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</si>
  <si>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</si>
  <si>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</si>
  <si>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</si>
  <si>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</si>
  <si>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</si>
  <si>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</si>
  <si>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</si>
  <si>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</si>
  <si>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</si>
  <si>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</si>
  <si>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</si>
  <si>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</si>
  <si>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</si>
  <si>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</si>
  <si>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</si>
  <si>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</si>
  <si>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</si>
  <si>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</si>
  <si>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</si>
  <si>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</si>
  <si>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</si>
  <si>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</si>
  <si>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</si>
  <si>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</si>
  <si>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</si>
  <si>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</si>
  <si>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</si>
  <si>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</si>
  <si>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</si>
  <si>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</si>
  <si>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</si>
  <si>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</si>
  <si>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</si>
  <si>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</si>
  <si>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</si>
  <si>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</si>
  <si>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</si>
  <si>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</si>
  <si>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</si>
  <si>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</si>
  <si>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</si>
  <si>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</si>
  <si>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</si>
  <si>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</si>
  <si>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</si>
  <si>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</si>
  <si>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</si>
  <si>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</si>
  <si>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</si>
  <si>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</si>
  <si>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</si>
  <si>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</si>
  <si>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</si>
  <si>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</si>
  <si>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</si>
  <si>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</si>
  <si>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</si>
  <si>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</si>
  <si>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</si>
  <si>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</si>
  <si>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</si>
  <si>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</si>
  <si>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</si>
  <si>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</si>
  <si>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</si>
  <si>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</si>
  <si>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</si>
  <si>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</si>
  <si>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</si>
  <si>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</si>
  <si>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</si>
  <si>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</si>
  <si>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</si>
  <si>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</si>
  <si>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</si>
  <si>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</si>
  <si>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</si>
  <si>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</si>
  <si>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</si>
  <si>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</si>
  <si>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</si>
  <si>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</si>
  <si>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</si>
  <si>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</si>
  <si>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</si>
  <si>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</si>
  <si>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</si>
  <si>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</si>
  <si>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</si>
  <si>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</si>
  <si>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</si>
  <si>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</si>
  <si>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</si>
  <si>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</si>
  <si>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</si>
  <si>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</si>
  <si>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</si>
  <si>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</si>
  <si>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</si>
  <si>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</si>
  <si>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</si>
  <si>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</si>
  <si>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</si>
  <si>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</si>
  <si>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</si>
  <si>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</si>
  <si>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</si>
  <si>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</si>
  <si>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</si>
  <si>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</si>
  <si>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</si>
  <si>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</si>
  <si>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</si>
  <si>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</si>
  <si>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</si>
  <si>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</si>
  <si>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</si>
  <si>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</si>
  <si>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</si>
  <si>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</si>
  <si>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</si>
  <si>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</si>
  <si>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</si>
  <si>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</si>
  <si>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</si>
  <si>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</si>
  <si>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</si>
  <si>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</si>
  <si>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</si>
  <si>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</si>
  <si>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</si>
  <si>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</si>
  <si>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</si>
  <si>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</si>
  <si>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</si>
  <si>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</si>
  <si>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</si>
  <si>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</si>
  <si>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</si>
  <si>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</si>
  <si>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</si>
  <si>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</si>
  <si>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</si>
  <si>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</si>
  <si>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</si>
  <si>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</si>
  <si>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</si>
  <si>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</si>
  <si>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</si>
  <si>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</si>
  <si>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</si>
  <si>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</si>
  <si>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</si>
  <si>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Год 2024</t>
  </si>
  <si>
    <t>Год 2025</t>
  </si>
  <si>
    <t>Год 2026</t>
  </si>
  <si>
    <t>Год 2023</t>
  </si>
  <si>
    <t>Год 2022</t>
  </si>
  <si>
    <t>Год 2021</t>
  </si>
  <si>
    <t>Утвержденный план</t>
  </si>
  <si>
    <t xml:space="preserve">План </t>
  </si>
  <si>
    <t xml:space="preserve">Факт
</t>
  </si>
  <si>
    <t>Проект инвестиционной программы Акционерного общества коммунальных электрических сетей Саратовской области "Облкоммунэнерго"</t>
  </si>
  <si>
    <t>Субъект Российской Федерации - Саратовская область</t>
  </si>
  <si>
    <t>Год 2020</t>
  </si>
  <si>
    <t>Год 2019</t>
  </si>
  <si>
    <t>4.12</t>
  </si>
  <si>
    <t>4.13</t>
  </si>
  <si>
    <t>доля в структуре выручки</t>
  </si>
  <si>
    <t xml:space="preserve">утв. план 2024 </t>
  </si>
  <si>
    <t>Заместитель генерального директора по экономике и финансам</t>
  </si>
  <si>
    <t>В.В. Верещагина</t>
  </si>
  <si>
    <t>Исп.вед.экономист ФЭО М.В.Менская</t>
  </si>
  <si>
    <t>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</si>
  <si>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полное наименование субъекта электроэнергетики</t>
  </si>
  <si>
    <t>Год раскрытия информации: 2025 год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</si>
  <si>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18 июля 2024 года № 149</t>
  </si>
  <si>
    <t xml:space="preserve">Утвержденный план </t>
  </si>
  <si>
    <t>Год 2027</t>
  </si>
  <si>
    <t>Год 2028</t>
  </si>
  <si>
    <t>4.14</t>
  </si>
  <si>
    <t>4.15</t>
  </si>
  <si>
    <t>х</t>
  </si>
  <si>
    <t>утв. план 2025</t>
  </si>
  <si>
    <t>план 2026</t>
  </si>
  <si>
    <t>план 2027</t>
  </si>
  <si>
    <t>план 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</si>
</sst>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#,##0.000"/>
    <numFmt numFmtId="170" formatCode="0.0"/>
    <numFmt numFmtId="171" formatCode="0.000"/>
    <numFmt numFmtId="172" formatCode="_-* #,##0_р_._-;\-* #,##0_р_._-;_-* &quot;-&quot;??_р_._-;_-@_-"/>
    <numFmt numFmtId="173" formatCode="_-* #,##0.0_р_._-;\-* #,##0.0_р_._-;_-* &quot;-&quot;??_р_._-;_-@_-"/>
    <numFmt numFmtId="174" formatCode="#,##0_р_."/>
    <numFmt numFmtId="175" formatCode="0.0%"/>
    <numFmt numFmtId="176" formatCode="_-* #,##0\ _₽_-;\-* #,##0\ _₽_-;_-* &quot;-&quot;??\ _₽_-;_-@_-"/>
  </numFmts>
  <fonts count="7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4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1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46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48" fillId="0" borderId="0"/>
    <xf numFmtId="0" fontId="1" fillId="0" borderId="0"/>
    <xf numFmtId="0" fontId="48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9" fillId="0" borderId="0"/>
    <xf numFmtId="0" fontId="46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5" fontId="46" fillId="0" borderId="0" applyFont="0" applyFill="0" applyBorder="0" applyAlignment="0" applyProtection="0"/>
    <xf numFmtId="165" fontId="46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46" fillId="0" borderId="0" applyFont="0" applyFill="0" applyBorder="0" applyAlignment="0" applyProtection="0"/>
    <xf numFmtId="165" fontId="41" fillId="0" borderId="0" applyFont="0" applyFill="0" applyBorder="0" applyAlignment="0" applyProtection="0"/>
    <xf numFmtId="166" fontId="7" fillId="0" borderId="0" applyFont="0" applyFill="0" applyBorder="0" applyAlignment="0" applyProtection="0"/>
    <xf numFmtId="165" fontId="46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25" fillId="4" borderId="0" applyNumberFormat="0" applyBorder="0" applyAlignment="0" applyProtection="0"/>
    <xf numFmtId="9" fontId="46" fillId="0" borderId="0" applyFont="0" applyFill="0" applyBorder="0" applyAlignment="0" applyProtection="0"/>
  </cellStyleXfs>
  <cellXfs count="417">
    <xf numFmtId="0" fontId="0" fillId="0" borderId="0" xfId="0"/>
    <xf numFmtId="0" fontId="28" fillId="0" borderId="10" xfId="0" applyFont="1" applyBorder="1" applyAlignment="1">
      <alignment horizontal="left"/>
    </xf>
    <xf numFmtId="0" fontId="28" fillId="0" borderId="10" xfId="0" applyFont="1" applyBorder="1"/>
    <xf numFmtId="168" fontId="29" fillId="0" borderId="10" xfId="0" applyNumberFormat="1" applyFont="1" applyBorder="1" applyAlignment="1">
      <alignment horizontal="center"/>
    </xf>
    <xf numFmtId="49" fontId="29" fillId="0" borderId="11" xfId="0" applyNumberFormat="1" applyFont="1" applyBorder="1" applyAlignment="1">
      <alignment horizontal="left" vertical="center" wrapText="1"/>
    </xf>
    <xf numFmtId="0" fontId="29" fillId="0" borderId="11" xfId="0" applyFont="1" applyBorder="1" applyAlignment="1">
      <alignment horizontal="left" wrapText="1"/>
    </xf>
    <xf numFmtId="168" fontId="29" fillId="0" borderId="12" xfId="0" applyNumberFormat="1" applyFont="1" applyBorder="1" applyAlignment="1">
      <alignment horizontal="center"/>
    </xf>
    <xf numFmtId="0" fontId="29" fillId="0" borderId="11" xfId="0" applyFont="1" applyBorder="1" applyAlignment="1">
      <alignment horizontal="left" vertical="center" wrapText="1"/>
    </xf>
    <xf numFmtId="168" fontId="29" fillId="0" borderId="12" xfId="0" applyNumberFormat="1" applyFont="1" applyBorder="1" applyAlignment="1">
      <alignment horizontal="center" vertical="center"/>
    </xf>
    <xf numFmtId="49" fontId="31" fillId="0" borderId="11" xfId="0" applyNumberFormat="1" applyFont="1" applyBorder="1" applyAlignment="1">
      <alignment horizontal="left" vertical="center" wrapText="1"/>
    </xf>
    <xf numFmtId="0" fontId="28" fillId="0" borderId="10" xfId="0" applyFont="1" applyBorder="1" applyAlignment="1">
      <alignment horizontal="center"/>
    </xf>
    <xf numFmtId="168" fontId="29" fillId="0" borderId="10" xfId="78" applyNumberFormat="1" applyFont="1" applyFill="1" applyBorder="1" applyAlignment="1" applyProtection="1">
      <alignment horizontal="center"/>
    </xf>
    <xf numFmtId="49" fontId="29" fillId="0" borderId="11" xfId="0" applyNumberFormat="1" applyFont="1" applyBorder="1" applyAlignment="1">
      <alignment horizontal="center" vertical="center" wrapText="1"/>
    </xf>
    <xf numFmtId="0" fontId="29" fillId="0" borderId="12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/>
    </xf>
    <xf numFmtId="0" fontId="29" fillId="0" borderId="11" xfId="58" applyFont="1" applyBorder="1" applyAlignment="1">
      <alignment horizontal="left" vertical="top" wrapText="1"/>
    </xf>
    <xf numFmtId="168" fontId="29" fillId="0" borderId="11" xfId="78" applyNumberFormat="1" applyFont="1" applyFill="1" applyBorder="1" applyAlignment="1" applyProtection="1">
      <alignment horizontal="center"/>
    </xf>
    <xf numFmtId="49" fontId="29" fillId="0" borderId="12" xfId="0" applyNumberFormat="1" applyFont="1" applyBorder="1" applyAlignment="1">
      <alignment horizontal="center" vertical="center" wrapText="1"/>
    </xf>
    <xf numFmtId="0" fontId="29" fillId="0" borderId="11" xfId="58" applyFont="1" applyBorder="1" applyAlignment="1">
      <alignment horizontal="left" vertical="top" wrapText="1" indent="3"/>
    </xf>
    <xf numFmtId="0" fontId="29" fillId="0" borderId="11" xfId="58" applyFont="1" applyBorder="1" applyAlignment="1">
      <alignment horizontal="left" vertical="center" wrapText="1"/>
    </xf>
    <xf numFmtId="0" fontId="29" fillId="0" borderId="13" xfId="58" applyFont="1" applyBorder="1" applyAlignment="1">
      <alignment horizontal="left" vertical="top" wrapText="1" indent="3"/>
    </xf>
    <xf numFmtId="168" fontId="29" fillId="0" borderId="14" xfId="78" applyNumberFormat="1" applyFont="1" applyFill="1" applyBorder="1" applyAlignment="1" applyProtection="1">
      <alignment horizontal="center"/>
    </xf>
    <xf numFmtId="0" fontId="32" fillId="0" borderId="10" xfId="0" applyFont="1" applyBorder="1"/>
    <xf numFmtId="168" fontId="29" fillId="24" borderId="10" xfId="0" applyNumberFormat="1" applyFont="1" applyFill="1" applyBorder="1"/>
    <xf numFmtId="168" fontId="29" fillId="24" borderId="12" xfId="0" applyNumberFormat="1" applyFont="1" applyFill="1" applyBorder="1"/>
    <xf numFmtId="168" fontId="29" fillId="24" borderId="11" xfId="0" applyNumberFormat="1" applyFont="1" applyFill="1" applyBorder="1"/>
    <xf numFmtId="168" fontId="29" fillId="24" borderId="11" xfId="0" applyNumberFormat="1" applyFont="1" applyFill="1" applyBorder="1" applyAlignment="1">
      <alignment vertical="center"/>
    </xf>
    <xf numFmtId="168" fontId="29" fillId="24" borderId="15" xfId="0" applyNumberFormat="1" applyFont="1" applyFill="1" applyBorder="1"/>
    <xf numFmtId="168" fontId="29" fillId="24" borderId="10" xfId="78" applyNumberFormat="1" applyFont="1" applyFill="1" applyBorder="1" applyAlignment="1" applyProtection="1">
      <alignment horizontal="right"/>
    </xf>
    <xf numFmtId="168" fontId="29" fillId="24" borderId="16" xfId="0" applyNumberFormat="1" applyFont="1" applyFill="1" applyBorder="1"/>
    <xf numFmtId="0" fontId="29" fillId="0" borderId="0" xfId="58" applyFont="1" applyAlignment="1">
      <alignment horizontal="left" vertical="top" wrapText="1" indent="3"/>
    </xf>
    <xf numFmtId="168" fontId="0" fillId="0" borderId="0" xfId="0" applyNumberFormat="1"/>
    <xf numFmtId="49" fontId="29" fillId="26" borderId="11" xfId="0" applyNumberFormat="1" applyFont="1" applyFill="1" applyBorder="1" applyAlignment="1">
      <alignment horizontal="left" vertical="center" wrapText="1"/>
    </xf>
    <xf numFmtId="0" fontId="29" fillId="26" borderId="11" xfId="0" applyFont="1" applyFill="1" applyBorder="1" applyAlignment="1">
      <alignment horizontal="left" wrapText="1"/>
    </xf>
    <xf numFmtId="168" fontId="29" fillId="26" borderId="12" xfId="0" applyNumberFormat="1" applyFont="1" applyFill="1" applyBorder="1" applyAlignment="1">
      <alignment horizontal="center"/>
    </xf>
    <xf numFmtId="168" fontId="29" fillId="26" borderId="11" xfId="0" applyNumberFormat="1" applyFont="1" applyFill="1" applyBorder="1"/>
    <xf numFmtId="49" fontId="29" fillId="27" borderId="11" xfId="0" applyNumberFormat="1" applyFont="1" applyFill="1" applyBorder="1" applyAlignment="1">
      <alignment horizontal="left" vertical="center" wrapText="1"/>
    </xf>
    <xf numFmtId="0" fontId="29" fillId="27" borderId="11" xfId="58" applyFont="1" applyFill="1" applyBorder="1" applyAlignment="1">
      <alignment vertical="top" wrapText="1"/>
    </xf>
    <xf numFmtId="168" fontId="29" fillId="27" borderId="12" xfId="0" applyNumberFormat="1" applyFont="1" applyFill="1" applyBorder="1" applyAlignment="1">
      <alignment horizontal="center"/>
    </xf>
    <xf numFmtId="168" fontId="29" fillId="27" borderId="11" xfId="0" applyNumberFormat="1" applyFont="1" applyFill="1" applyBorder="1" applyAlignment="1">
      <alignment vertical="center"/>
    </xf>
    <xf numFmtId="49" fontId="29" fillId="26" borderId="11" xfId="0" applyNumberFormat="1" applyFont="1" applyFill="1" applyBorder="1" applyAlignment="1">
      <alignment horizontal="center" vertical="center" wrapText="1"/>
    </xf>
    <xf numFmtId="0" fontId="29" fillId="26" borderId="11" xfId="0" applyFont="1" applyFill="1" applyBorder="1" applyAlignment="1">
      <alignment horizontal="left" vertical="center" wrapText="1"/>
    </xf>
    <xf numFmtId="168" fontId="29" fillId="26" borderId="12" xfId="0" applyNumberFormat="1" applyFont="1" applyFill="1" applyBorder="1" applyAlignment="1">
      <alignment horizontal="center" vertical="center"/>
    </xf>
    <xf numFmtId="168" fontId="29" fillId="26" borderId="11" xfId="0" applyNumberFormat="1" applyFont="1" applyFill="1" applyBorder="1" applyAlignment="1">
      <alignment vertical="center"/>
    </xf>
    <xf numFmtId="0" fontId="29" fillId="26" borderId="11" xfId="58" applyFont="1" applyFill="1" applyBorder="1" applyAlignment="1">
      <alignment horizontal="left" vertical="top" wrapText="1"/>
    </xf>
    <xf numFmtId="168" fontId="29" fillId="26" borderId="11" xfId="78" applyNumberFormat="1" applyFont="1" applyFill="1" applyBorder="1" applyAlignment="1" applyProtection="1">
      <alignment horizontal="center"/>
    </xf>
    <xf numFmtId="168" fontId="29" fillId="27" borderId="11" xfId="0" applyNumberFormat="1" applyFont="1" applyFill="1" applyBorder="1"/>
    <xf numFmtId="49" fontId="29" fillId="28" borderId="11" xfId="0" applyNumberFormat="1" applyFont="1" applyFill="1" applyBorder="1" applyAlignment="1">
      <alignment horizontal="center" vertical="center" wrapText="1"/>
    </xf>
    <xf numFmtId="0" fontId="29" fillId="28" borderId="11" xfId="58" applyFont="1" applyFill="1" applyBorder="1" applyAlignment="1">
      <alignment horizontal="left" vertical="top" wrapText="1"/>
    </xf>
    <xf numFmtId="168" fontId="29" fillId="28" borderId="11" xfId="78" applyNumberFormat="1" applyFont="1" applyFill="1" applyBorder="1" applyAlignment="1" applyProtection="1">
      <alignment horizontal="center"/>
    </xf>
    <xf numFmtId="168" fontId="29" fillId="28" borderId="11" xfId="0" applyNumberFormat="1" applyFont="1" applyFill="1" applyBorder="1"/>
    <xf numFmtId="0" fontId="47" fillId="0" borderId="0" xfId="0" applyFont="1" applyAlignment="1">
      <alignment horizontal="center" vertical="center" wrapText="1"/>
    </xf>
    <xf numFmtId="168" fontId="29" fillId="24" borderId="12" xfId="0" applyNumberFormat="1" applyFont="1" applyFill="1" applyBorder="1" applyAlignment="1">
      <alignment vertical="center"/>
    </xf>
    <xf numFmtId="168" fontId="29" fillId="24" borderId="13" xfId="0" applyNumberFormat="1" applyFont="1" applyFill="1" applyBorder="1" applyAlignment="1">
      <alignment vertical="center"/>
    </xf>
    <xf numFmtId="168" fontId="29" fillId="24" borderId="14" xfId="0" applyNumberFormat="1" applyFont="1" applyFill="1" applyBorder="1"/>
    <xf numFmtId="168" fontId="29" fillId="0" borderId="12" xfId="0" applyNumberFormat="1" applyFont="1" applyBorder="1" applyProtection="1">
      <protection locked="0"/>
    </xf>
    <xf numFmtId="168" fontId="29" fillId="0" borderId="12" xfId="0" applyNumberFormat="1" applyFont="1" applyBorder="1" applyAlignment="1" applyProtection="1">
      <alignment vertical="center"/>
      <protection locked="0"/>
    </xf>
    <xf numFmtId="168" fontId="29" fillId="25" borderId="12" xfId="0" applyNumberFormat="1" applyFont="1" applyFill="1" applyBorder="1" applyProtection="1">
      <protection locked="0"/>
    </xf>
    <xf numFmtId="168" fontId="29" fillId="24" borderId="11" xfId="78" applyNumberFormat="1" applyFont="1" applyFill="1" applyBorder="1" applyAlignment="1" applyProtection="1">
      <alignment horizontal="right"/>
    </xf>
    <xf numFmtId="168" fontId="29" fillId="25" borderId="14" xfId="78" applyNumberFormat="1" applyFont="1" applyFill="1" applyBorder="1" applyAlignment="1" applyProtection="1">
      <alignment horizontal="right"/>
      <protection locked="0"/>
    </xf>
    <xf numFmtId="168" fontId="29" fillId="26" borderId="12" xfId="0" applyNumberFormat="1" applyFont="1" applyFill="1" applyBorder="1" applyProtection="1">
      <protection locked="0"/>
    </xf>
    <xf numFmtId="168" fontId="29" fillId="26" borderId="12" xfId="0" applyNumberFormat="1" applyFont="1" applyFill="1" applyBorder="1" applyAlignment="1" applyProtection="1">
      <alignment vertical="center"/>
      <protection locked="0"/>
    </xf>
    <xf numFmtId="168" fontId="29" fillId="26" borderId="11" xfId="78" applyNumberFormat="1" applyFont="1" applyFill="1" applyBorder="1" applyAlignment="1" applyProtection="1">
      <alignment horizontal="right"/>
    </xf>
    <xf numFmtId="168" fontId="29" fillId="27" borderId="11" xfId="78" applyNumberFormat="1" applyFont="1" applyFill="1" applyBorder="1" applyAlignment="1" applyProtection="1">
      <alignment horizontal="right"/>
    </xf>
    <xf numFmtId="0" fontId="47" fillId="0" borderId="1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right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right" vertical="center"/>
    </xf>
    <xf numFmtId="0" fontId="27" fillId="0" borderId="19" xfId="0" applyFont="1" applyBorder="1" applyAlignment="1">
      <alignment horizontal="right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19" xfId="0" applyFont="1" applyBorder="1" applyAlignment="1">
      <alignment horizontal="justify" vertical="center" wrapText="1"/>
    </xf>
    <xf numFmtId="2" fontId="2" fillId="0" borderId="19" xfId="0" applyNumberFormat="1" applyFont="1" applyBorder="1" applyAlignment="1">
      <alignment horizontal="right" vertical="center"/>
    </xf>
    <xf numFmtId="170" fontId="1" fillId="0" borderId="19" xfId="0" applyNumberFormat="1" applyFont="1" applyBorder="1" applyAlignment="1">
      <alignment horizontal="right" vertical="center"/>
    </xf>
    <xf numFmtId="170" fontId="2" fillId="0" borderId="0" xfId="0" applyNumberFormat="1" applyFont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 wrapText="1"/>
    </xf>
    <xf numFmtId="1" fontId="2" fillId="0" borderId="19" xfId="0" applyNumberFormat="1" applyFont="1" applyBorder="1" applyAlignment="1">
      <alignment horizontal="right" vertical="center"/>
    </xf>
    <xf numFmtId="0" fontId="1" fillId="0" borderId="2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" fontId="2" fillId="0" borderId="19" xfId="0" applyNumberFormat="1" applyFont="1" applyBorder="1" applyAlignment="1">
      <alignment horizontal="right" vertical="center" wrapText="1"/>
    </xf>
    <xf numFmtId="0" fontId="2" fillId="0" borderId="22" xfId="0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1" fillId="0" borderId="19" xfId="0" applyNumberFormat="1" applyFont="1" applyBorder="1" applyAlignment="1">
      <alignment horizontal="right" vertical="center" wrapText="1"/>
    </xf>
    <xf numFmtId="2" fontId="1" fillId="0" borderId="19" xfId="0" applyNumberFormat="1" applyFont="1" applyBorder="1" applyAlignment="1">
      <alignment horizontal="right" vertical="center"/>
    </xf>
    <xf numFmtId="1" fontId="27" fillId="0" borderId="0" xfId="0" applyNumberFormat="1" applyFont="1" applyAlignment="1">
      <alignment vertical="center" wrapText="1"/>
    </xf>
    <xf numFmtId="0" fontId="27" fillId="0" borderId="0" xfId="0" applyFont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1" fontId="0" fillId="0" borderId="0" xfId="0" applyNumberFormat="1" applyAlignment="1">
      <alignment vertical="center"/>
    </xf>
    <xf numFmtId="165" fontId="1" fillId="0" borderId="19" xfId="72" applyFont="1" applyFill="1" applyBorder="1" applyAlignment="1">
      <alignment horizontal="right" vertical="center"/>
    </xf>
    <xf numFmtId="0" fontId="1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/>
    </xf>
    <xf numFmtId="1" fontId="1" fillId="0" borderId="19" xfId="0" applyNumberFormat="1" applyFont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Alignment="1">
      <alignment vertical="center"/>
    </xf>
    <xf numFmtId="0" fontId="2" fillId="0" borderId="20" xfId="0" applyFont="1" applyBorder="1" applyAlignment="1">
      <alignment horizontal="center" vertical="center"/>
    </xf>
    <xf numFmtId="16" fontId="1" fillId="0" borderId="22" xfId="0" applyNumberFormat="1" applyFont="1" applyBorder="1" applyAlignment="1">
      <alignment horizontal="center" vertical="center"/>
    </xf>
    <xf numFmtId="165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70" fontId="2" fillId="0" borderId="19" xfId="0" applyNumberFormat="1" applyFont="1" applyBorder="1" applyAlignment="1">
      <alignment horizontal="right" vertical="center"/>
    </xf>
    <xf numFmtId="0" fontId="33" fillId="0" borderId="19" xfId="0" applyFont="1" applyBorder="1" applyAlignment="1">
      <alignment vertical="center"/>
    </xf>
    <xf numFmtId="1" fontId="33" fillId="0" borderId="19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170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Font="1" applyFill="1" applyBorder="1" applyAlignment="1">
      <alignment horizontal="right" vertical="center"/>
    </xf>
    <xf numFmtId="165" fontId="2" fillId="0" borderId="19" xfId="72" applyFont="1" applyFill="1" applyBorder="1" applyAlignment="1">
      <alignment horizontal="right" vertical="center"/>
    </xf>
    <xf numFmtId="0" fontId="2" fillId="0" borderId="2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9" xfId="41" applyBorder="1" applyAlignment="1">
      <alignment horizontal="justify" vertical="center" wrapText="1"/>
    </xf>
    <xf numFmtId="2" fontId="0" fillId="0" borderId="19" xfId="0" applyNumberFormat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2" fontId="2" fillId="0" borderId="19" xfId="72" applyNumberFormat="1" applyFont="1" applyFill="1" applyBorder="1" applyAlignment="1">
      <alignment horizontal="center" vertical="center" wrapText="1"/>
    </xf>
    <xf numFmtId="165" fontId="2" fillId="0" borderId="19" xfId="72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2" fontId="1" fillId="0" borderId="19" xfId="0" applyNumberFormat="1" applyFont="1" applyBorder="1" applyAlignment="1">
      <alignment vertical="center"/>
    </xf>
    <xf numFmtId="172" fontId="1" fillId="26" borderId="19" xfId="72" applyNumberFormat="1" applyFont="1" applyFill="1" applyBorder="1" applyAlignment="1">
      <alignment horizontal="center" vertical="center"/>
    </xf>
    <xf numFmtId="172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172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/>
    </xf>
    <xf numFmtId="172" fontId="0" fillId="0" borderId="19" xfId="0" applyNumberFormat="1" applyBorder="1" applyAlignment="1">
      <alignment vertical="center"/>
    </xf>
    <xf numFmtId="165" fontId="1" fillId="0" borderId="19" xfId="72" applyFont="1" applyFill="1" applyBorder="1" applyAlignment="1">
      <alignment horizontal="center" vertical="center"/>
    </xf>
    <xf numFmtId="49" fontId="1" fillId="0" borderId="19" xfId="43" applyNumberFormat="1" applyBorder="1" applyAlignment="1">
      <alignment horizontal="center" vertical="center"/>
    </xf>
    <xf numFmtId="0" fontId="34" fillId="0" borderId="19" xfId="43" applyFont="1" applyBorder="1" applyAlignment="1">
      <alignment horizontal="left" vertical="center" wrapText="1"/>
    </xf>
    <xf numFmtId="165" fontId="2" fillId="0" borderId="19" xfId="72" applyFont="1" applyFill="1" applyBorder="1" applyAlignment="1">
      <alignment horizontal="center" vertical="center"/>
    </xf>
    <xf numFmtId="0" fontId="1" fillId="0" borderId="19" xfId="43" applyBorder="1" applyAlignment="1">
      <alignment horizontal="left" vertical="center" wrapText="1" indent="3"/>
    </xf>
    <xf numFmtId="49" fontId="1" fillId="0" borderId="0" xfId="43" applyNumberFormat="1" applyAlignment="1">
      <alignment horizontal="center" vertical="center"/>
    </xf>
    <xf numFmtId="0" fontId="1" fillId="0" borderId="0" xfId="43" applyAlignment="1">
      <alignment horizontal="left" vertical="center" wrapText="1" indent="3"/>
    </xf>
    <xf numFmtId="165" fontId="1" fillId="0" borderId="0" xfId="72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0" fillId="0" borderId="0" xfId="0" applyFont="1" applyAlignment="1">
      <alignment horizontal="left" vertical="center" wrapText="1"/>
    </xf>
    <xf numFmtId="169" fontId="51" fillId="0" borderId="0" xfId="0" applyNumberFormat="1" applyFont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164" fontId="1" fillId="0" borderId="19" xfId="0" applyNumberFormat="1" applyFont="1" applyBorder="1" applyAlignment="1">
      <alignment horizontal="center" vertical="center"/>
    </xf>
    <xf numFmtId="164" fontId="1" fillId="29" borderId="19" xfId="0" applyNumberFormat="1" applyFont="1" applyFill="1" applyBorder="1" applyAlignment="1">
      <alignment horizontal="center" vertical="center"/>
    </xf>
    <xf numFmtId="0" fontId="35" fillId="0" borderId="19" xfId="0" applyFont="1" applyBorder="1" applyAlignment="1">
      <alignment horizontal="center" vertical="center"/>
    </xf>
    <xf numFmtId="2" fontId="35" fillId="0" borderId="19" xfId="0" applyNumberFormat="1" applyFont="1" applyBorder="1" applyAlignment="1">
      <alignment horizontal="center" vertical="center"/>
    </xf>
    <xf numFmtId="1" fontId="0" fillId="0" borderId="19" xfId="0" applyNumberFormat="1" applyBorder="1" applyAlignment="1">
      <alignment vertical="center"/>
    </xf>
    <xf numFmtId="0" fontId="33" fillId="0" borderId="19" xfId="0" applyFont="1" applyBorder="1" applyAlignment="1">
      <alignment horizontal="left" vertical="center" indent="3"/>
    </xf>
    <xf numFmtId="2" fontId="33" fillId="0" borderId="19" xfId="0" applyNumberFormat="1" applyFont="1" applyBorder="1" applyAlignment="1">
      <alignment horizontal="center" vertical="center"/>
    </xf>
    <xf numFmtId="165" fontId="33" fillId="0" borderId="19" xfId="72" applyFont="1" applyFill="1" applyBorder="1" applyAlignment="1">
      <alignment horizontal="center" vertical="center"/>
    </xf>
    <xf numFmtId="165" fontId="33" fillId="0" borderId="19" xfId="72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1"/>
    </xf>
    <xf numFmtId="170" fontId="33" fillId="0" borderId="19" xfId="0" applyNumberFormat="1" applyFont="1" applyBorder="1" applyAlignment="1">
      <alignment horizontal="center" vertical="center"/>
    </xf>
    <xf numFmtId="170" fontId="35" fillId="0" borderId="19" xfId="0" applyNumberFormat="1" applyFont="1" applyBorder="1" applyAlignment="1">
      <alignment horizontal="center" vertical="center"/>
    </xf>
    <xf numFmtId="165" fontId="33" fillId="0" borderId="19" xfId="72" applyFont="1" applyFill="1" applyBorder="1" applyAlignment="1">
      <alignment vertical="center"/>
    </xf>
    <xf numFmtId="9" fontId="33" fillId="0" borderId="19" xfId="66" applyFont="1" applyFill="1" applyBorder="1" applyAlignment="1">
      <alignment vertical="center"/>
    </xf>
    <xf numFmtId="0" fontId="35" fillId="26" borderId="19" xfId="0" applyFont="1" applyFill="1" applyBorder="1" applyAlignment="1">
      <alignment vertical="center"/>
    </xf>
    <xf numFmtId="165" fontId="33" fillId="0" borderId="19" xfId="71" applyFont="1" applyFill="1" applyBorder="1" applyAlignment="1">
      <alignment vertical="center"/>
    </xf>
    <xf numFmtId="165" fontId="52" fillId="0" borderId="19" xfId="71" applyFont="1" applyFill="1" applyBorder="1" applyAlignment="1">
      <alignment vertical="center"/>
    </xf>
    <xf numFmtId="165" fontId="46" fillId="0" borderId="19" xfId="71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9" fontId="46" fillId="0" borderId="0" xfId="66" applyFont="1" applyFill="1" applyAlignment="1">
      <alignment vertical="center"/>
    </xf>
    <xf numFmtId="0" fontId="36" fillId="0" borderId="19" xfId="50" applyFont="1" applyBorder="1" applyAlignment="1">
      <alignment horizontal="left" vertical="center" wrapText="1"/>
    </xf>
    <xf numFmtId="1" fontId="33" fillId="0" borderId="19" xfId="0" applyNumberFormat="1" applyFont="1" applyBorder="1" applyAlignment="1">
      <alignment horizontal="center" vertical="center"/>
    </xf>
    <xf numFmtId="165" fontId="33" fillId="0" borderId="19" xfId="71" applyFont="1" applyFill="1" applyBorder="1" applyAlignment="1">
      <alignment horizontal="center" vertical="center"/>
    </xf>
    <xf numFmtId="165" fontId="52" fillId="0" borderId="19" xfId="71" applyFont="1" applyFill="1" applyBorder="1" applyAlignment="1">
      <alignment horizontal="center" vertical="center"/>
    </xf>
    <xf numFmtId="0" fontId="33" fillId="0" borderId="19" xfId="0" applyFont="1" applyBorder="1" applyAlignment="1">
      <alignment horizontal="left" vertical="center"/>
    </xf>
    <xf numFmtId="1" fontId="33" fillId="0" borderId="19" xfId="72" applyNumberFormat="1" applyFont="1" applyFill="1" applyBorder="1" applyAlignment="1">
      <alignment horizontal="center" vertical="center"/>
    </xf>
    <xf numFmtId="170" fontId="33" fillId="0" borderId="19" xfId="72" applyNumberFormat="1" applyFont="1" applyFill="1" applyBorder="1" applyAlignment="1">
      <alignment horizontal="center" vertical="center"/>
    </xf>
    <xf numFmtId="170" fontId="52" fillId="0" borderId="19" xfId="72" applyNumberFormat="1" applyFont="1" applyFill="1" applyBorder="1" applyAlignment="1">
      <alignment horizontal="center" vertical="center"/>
    </xf>
    <xf numFmtId="170" fontId="52" fillId="0" borderId="19" xfId="0" applyNumberFormat="1" applyFont="1" applyBorder="1" applyAlignment="1">
      <alignment horizontal="center" vertical="center"/>
    </xf>
    <xf numFmtId="0" fontId="35" fillId="0" borderId="19" xfId="0" applyFont="1" applyBorder="1" applyAlignment="1">
      <alignment vertical="center"/>
    </xf>
    <xf numFmtId="1" fontId="36" fillId="0" borderId="19" xfId="57" applyNumberFormat="1" applyFont="1" applyBorder="1" applyAlignment="1">
      <alignment horizontal="left" vertical="center" wrapText="1"/>
    </xf>
    <xf numFmtId="0" fontId="36" fillId="0" borderId="19" xfId="37" applyFont="1" applyBorder="1" applyAlignment="1">
      <alignment horizontal="left" vertical="center" wrapText="1"/>
    </xf>
    <xf numFmtId="0" fontId="37" fillId="0" borderId="19" xfId="0" applyFont="1" applyBorder="1" applyAlignment="1">
      <alignment vertical="center"/>
    </xf>
    <xf numFmtId="0" fontId="53" fillId="0" borderId="19" xfId="0" applyFont="1" applyBorder="1" applyAlignment="1">
      <alignment vertical="center"/>
    </xf>
    <xf numFmtId="1" fontId="52" fillId="0" borderId="19" xfId="0" applyNumberFormat="1" applyFont="1" applyBorder="1" applyAlignment="1">
      <alignment horizontal="center" vertical="center"/>
    </xf>
    <xf numFmtId="0" fontId="33" fillId="26" borderId="19" xfId="0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2"/>
    </xf>
    <xf numFmtId="1" fontId="1" fillId="0" borderId="19" xfId="0" applyNumberFormat="1" applyFont="1" applyBorder="1" applyAlignment="1">
      <alignment vertical="center"/>
    </xf>
    <xf numFmtId="170" fontId="1" fillId="0" borderId="19" xfId="0" applyNumberFormat="1" applyFont="1" applyBorder="1" applyAlignment="1">
      <alignment vertical="center"/>
    </xf>
    <xf numFmtId="0" fontId="1" fillId="29" borderId="0" xfId="59" applyFill="1" applyAlignment="1">
      <alignment vertical="center"/>
    </xf>
    <xf numFmtId="0" fontId="1" fillId="0" borderId="0" xfId="59" applyAlignment="1">
      <alignment vertical="center"/>
    </xf>
    <xf numFmtId="0" fontId="54" fillId="0" borderId="0" xfId="56" applyFont="1" applyAlignment="1">
      <alignment vertical="center"/>
    </xf>
    <xf numFmtId="0" fontId="55" fillId="0" borderId="0" xfId="56" applyFont="1" applyAlignment="1">
      <alignment horizontal="center" vertical="center"/>
    </xf>
    <xf numFmtId="0" fontId="56" fillId="0" borderId="0" xfId="56" applyFont="1" applyAlignment="1">
      <alignment horizontal="center" vertical="center"/>
    </xf>
    <xf numFmtId="0" fontId="38" fillId="0" borderId="0" xfId="41" applyFont="1" applyAlignment="1">
      <alignment vertical="center"/>
    </xf>
    <xf numFmtId="0" fontId="57" fillId="30" borderId="0" xfId="56" applyFont="1" applyFill="1" applyAlignment="1">
      <alignment horizontal="center" vertical="center"/>
    </xf>
    <xf numFmtId="0" fontId="58" fillId="30" borderId="0" xfId="56" applyFont="1" applyFill="1" applyAlignment="1">
      <alignment horizontal="center" vertical="center" wrapText="1"/>
    </xf>
    <xf numFmtId="173" fontId="59" fillId="0" borderId="0" xfId="77" applyNumberFormat="1" applyFont="1" applyAlignment="1">
      <alignment horizontal="center" vertical="center"/>
    </xf>
    <xf numFmtId="173" fontId="60" fillId="0" borderId="0" xfId="77" applyNumberFormat="1" applyFont="1" applyAlignment="1">
      <alignment horizontal="center" vertical="center"/>
    </xf>
    <xf numFmtId="0" fontId="59" fillId="0" borderId="0" xfId="41" applyFont="1" applyAlignment="1">
      <alignment vertical="center" wrapText="1"/>
    </xf>
    <xf numFmtId="0" fontId="59" fillId="0" borderId="0" xfId="56" applyFont="1" applyAlignment="1">
      <alignment vertical="center" wrapText="1"/>
    </xf>
    <xf numFmtId="0" fontId="38" fillId="0" borderId="0" xfId="42" applyFont="1" applyAlignment="1">
      <alignment vertical="center"/>
    </xf>
    <xf numFmtId="1" fontId="56" fillId="0" borderId="0" xfId="56" applyNumberFormat="1" applyFont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172" fontId="59" fillId="0" borderId="0" xfId="77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172" fontId="59" fillId="0" borderId="0" xfId="77" applyNumberFormat="1" applyFont="1" applyAlignment="1">
      <alignment horizontal="center" vertical="center" wrapText="1"/>
    </xf>
    <xf numFmtId="174" fontId="56" fillId="0" borderId="0" xfId="56" applyNumberFormat="1" applyFont="1" applyAlignment="1">
      <alignment vertical="center"/>
    </xf>
    <xf numFmtId="0" fontId="56" fillId="0" borderId="0" xfId="56" applyFont="1" applyAlignment="1">
      <alignment vertical="center"/>
    </xf>
    <xf numFmtId="0" fontId="38" fillId="0" borderId="0" xfId="41" applyFont="1" applyAlignment="1">
      <alignment vertical="center" wrapText="1"/>
    </xf>
    <xf numFmtId="165" fontId="59" fillId="0" borderId="0" xfId="77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4" fontId="56" fillId="0" borderId="0" xfId="56" applyNumberFormat="1" applyFont="1" applyAlignment="1">
      <alignment horizontal="center" vertical="center"/>
    </xf>
    <xf numFmtId="0" fontId="60" fillId="31" borderId="0" xfId="56" applyFont="1" applyFill="1" applyAlignment="1">
      <alignment horizontal="center" vertical="center"/>
    </xf>
    <xf numFmtId="172" fontId="60" fillId="31" borderId="0" xfId="77" applyNumberFormat="1" applyFont="1" applyFill="1" applyAlignment="1">
      <alignment horizontal="center" vertical="center"/>
    </xf>
    <xf numFmtId="173" fontId="60" fillId="31" borderId="0" xfId="77" applyNumberFormat="1" applyFont="1" applyFill="1" applyAlignment="1">
      <alignment horizontal="center" vertical="center"/>
    </xf>
    <xf numFmtId="0" fontId="59" fillId="0" borderId="0" xfId="56" applyFont="1" applyAlignment="1">
      <alignment horizontal="right" vertical="center"/>
    </xf>
    <xf numFmtId="175" fontId="59" fillId="0" borderId="0" xfId="67" applyNumberFormat="1" applyFont="1" applyAlignment="1">
      <alignment horizontal="center" vertical="center"/>
    </xf>
    <xf numFmtId="176" fontId="55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right" vertical="center"/>
    </xf>
    <xf numFmtId="174" fontId="56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0" fontId="55" fillId="0" borderId="0" xfId="56" applyFont="1" applyAlignment="1">
      <alignment horizontal="center" vertical="center" wrapText="1"/>
    </xf>
    <xf numFmtId="3" fontId="56" fillId="0" borderId="0" xfId="56" applyNumberFormat="1" applyFont="1" applyAlignment="1">
      <alignment horizontal="center" vertical="center"/>
    </xf>
    <xf numFmtId="0" fontId="58" fillId="30" borderId="0" xfId="56" applyFont="1" applyFill="1" applyAlignment="1">
      <alignment horizontal="center" vertical="center"/>
    </xf>
    <xf numFmtId="0" fontId="62" fillId="31" borderId="0" xfId="56" applyFont="1" applyFill="1" applyAlignment="1">
      <alignment horizontal="center" vertical="center"/>
    </xf>
    <xf numFmtId="172" fontId="62" fillId="31" borderId="0" xfId="77" applyNumberFormat="1" applyFont="1" applyFill="1" applyAlignment="1">
      <alignment horizontal="center" vertical="center"/>
    </xf>
    <xf numFmtId="0" fontId="63" fillId="0" borderId="0" xfId="56" applyFont="1" applyAlignment="1">
      <alignment horizontal="right" vertical="center"/>
    </xf>
    <xf numFmtId="172" fontId="63" fillId="0" borderId="0" xfId="77" applyNumberFormat="1" applyFont="1" applyAlignment="1">
      <alignment horizontal="center" vertical="center"/>
    </xf>
    <xf numFmtId="0" fontId="64" fillId="0" borderId="0" xfId="56" applyFont="1" applyAlignment="1">
      <alignment horizontal="center" vertical="center"/>
    </xf>
    <xf numFmtId="172" fontId="64" fillId="0" borderId="0" xfId="77" applyNumberFormat="1" applyFont="1" applyAlignment="1">
      <alignment horizontal="center" vertical="center"/>
    </xf>
    <xf numFmtId="3" fontId="59" fillId="0" borderId="0" xfId="56" applyNumberFormat="1" applyFont="1" applyAlignment="1">
      <alignment horizontal="right" vertical="center"/>
    </xf>
    <xf numFmtId="0" fontId="56" fillId="0" borderId="0" xfId="56" applyFont="1" applyAlignment="1">
      <alignment horizontal="right" vertical="center"/>
    </xf>
    <xf numFmtId="1" fontId="56" fillId="0" borderId="0" xfId="56" applyNumberFormat="1" applyFont="1" applyAlignment="1">
      <alignment vertical="center"/>
    </xf>
    <xf numFmtId="172" fontId="62" fillId="31" borderId="0" xfId="56" applyNumberFormat="1" applyFont="1" applyFill="1" applyAlignment="1">
      <alignment horizontal="center" vertical="center"/>
    </xf>
    <xf numFmtId="0" fontId="38" fillId="26" borderId="0" xfId="41" applyFont="1" applyFill="1" applyAlignment="1">
      <alignment vertical="center" wrapText="1"/>
    </xf>
    <xf numFmtId="0" fontId="60" fillId="31" borderId="0" xfId="56" applyFont="1" applyFill="1" applyAlignment="1">
      <alignment horizontal="right" vertical="center"/>
    </xf>
    <xf numFmtId="172" fontId="60" fillId="31" borderId="0" xfId="56" applyNumberFormat="1" applyFont="1" applyFill="1" applyAlignment="1">
      <alignment horizontal="center" vertical="center"/>
    </xf>
    <xf numFmtId="172" fontId="59" fillId="0" borderId="0" xfId="56" applyNumberFormat="1" applyFont="1" applyAlignment="1">
      <alignment horizontal="center" vertical="center"/>
    </xf>
    <xf numFmtId="9" fontId="59" fillId="0" borderId="0" xfId="65" applyFont="1" applyAlignment="1">
      <alignment horizontal="center" vertical="center"/>
    </xf>
    <xf numFmtId="3" fontId="55" fillId="0" borderId="0" xfId="56" applyNumberFormat="1" applyFont="1" applyAlignment="1">
      <alignment horizontal="center" vertical="center"/>
    </xf>
    <xf numFmtId="172" fontId="60" fillId="0" borderId="0" xfId="76" applyNumberFormat="1" applyFont="1" applyAlignment="1">
      <alignment horizontal="center" vertical="center"/>
    </xf>
    <xf numFmtId="172" fontId="65" fillId="0" borderId="0" xfId="56" applyNumberFormat="1" applyFont="1" applyAlignment="1">
      <alignment horizontal="center" vertical="center"/>
    </xf>
    <xf numFmtId="172" fontId="59" fillId="0" borderId="0" xfId="76" applyNumberFormat="1" applyFont="1" applyAlignment="1">
      <alignment horizontal="center" vertical="center"/>
    </xf>
    <xf numFmtId="9" fontId="65" fillId="26" borderId="0" xfId="67" applyFont="1" applyFill="1" applyAlignment="1">
      <alignment horizontal="center" vertical="center"/>
    </xf>
    <xf numFmtId="172" fontId="55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 wrapText="1"/>
    </xf>
    <xf numFmtId="0" fontId="59" fillId="0" borderId="0" xfId="0" applyFont="1" applyAlignment="1">
      <alignment vertical="center" wrapText="1"/>
    </xf>
    <xf numFmtId="0" fontId="1" fillId="0" borderId="0" xfId="41" applyAlignment="1">
      <alignment vertical="center"/>
    </xf>
    <xf numFmtId="175" fontId="56" fillId="0" borderId="0" xfId="66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175" fontId="59" fillId="0" borderId="0" xfId="66" applyNumberFormat="1" applyFont="1" applyAlignment="1">
      <alignment horizontal="center" vertical="center"/>
    </xf>
    <xf numFmtId="0" fontId="56" fillId="0" borderId="0" xfId="56" applyFont="1" applyAlignment="1">
      <alignment vertical="center" wrapText="1"/>
    </xf>
    <xf numFmtId="175" fontId="59" fillId="0" borderId="0" xfId="65" applyNumberFormat="1" applyFont="1" applyAlignment="1">
      <alignment horizontal="center" vertical="center"/>
    </xf>
    <xf numFmtId="0" fontId="67" fillId="0" borderId="0" xfId="0" applyFont="1" applyAlignment="1">
      <alignment vertical="center" wrapText="1"/>
    </xf>
    <xf numFmtId="0" fontId="67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1" fillId="0" borderId="10" xfId="0" applyFont="1" applyBorder="1" applyAlignment="1">
      <alignment horizontal="left" vertical="top" wrapText="1"/>
    </xf>
    <xf numFmtId="3" fontId="51" fillId="0" borderId="10" xfId="0" applyNumberFormat="1" applyFont="1" applyBorder="1" applyAlignment="1">
      <alignment horizontal="right" vertical="top"/>
    </xf>
    <xf numFmtId="3" fontId="1" fillId="0" borderId="20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right" vertical="top"/>
    </xf>
    <xf numFmtId="3" fontId="1" fillId="0" borderId="14" xfId="0" applyNumberFormat="1" applyFont="1" applyBorder="1" applyAlignment="1">
      <alignment horizontal="right" vertical="top"/>
    </xf>
    <xf numFmtId="0" fontId="1" fillId="0" borderId="19" xfId="43" applyBorder="1" applyAlignment="1">
      <alignment horizontal="left" vertical="center" indent="1"/>
    </xf>
    <xf numFmtId="0" fontId="1" fillId="0" borderId="19" xfId="43" applyBorder="1" applyAlignment="1">
      <alignment horizontal="left" vertical="center" wrapText="1" indent="1"/>
    </xf>
    <xf numFmtId="0" fontId="1" fillId="0" borderId="19" xfId="43" applyBorder="1" applyAlignment="1">
      <alignment horizontal="left" vertical="center" indent="3"/>
    </xf>
    <xf numFmtId="0" fontId="1" fillId="0" borderId="19" xfId="0" applyFont="1" applyBorder="1" applyAlignment="1">
      <alignment horizontal="left" vertical="center" wrapText="1" indent="1"/>
    </xf>
    <xf numFmtId="0" fontId="1" fillId="0" borderId="19" xfId="43" applyBorder="1" applyAlignment="1">
      <alignment horizontal="left" vertical="center" wrapText="1" indent="5"/>
    </xf>
    <xf numFmtId="0" fontId="1" fillId="0" borderId="19" xfId="0" applyFont="1" applyBorder="1" applyAlignment="1">
      <alignment horizontal="left" vertical="center" wrapText="1" indent="7"/>
    </xf>
    <xf numFmtId="0" fontId="1" fillId="0" borderId="0" xfId="43" applyAlignment="1">
      <alignment wrapText="1"/>
    </xf>
    <xf numFmtId="0" fontId="27" fillId="0" borderId="0" xfId="43" applyFont="1" applyAlignment="1">
      <alignment horizontal="center" vertical="center" wrapText="1"/>
    </xf>
    <xf numFmtId="0" fontId="1" fillId="0" borderId="0" xfId="43" applyAlignment="1">
      <alignment horizontal="center" vertical="center" wrapText="1"/>
    </xf>
    <xf numFmtId="0" fontId="1" fillId="0" borderId="0" xfId="43"/>
    <xf numFmtId="0" fontId="26" fillId="0" borderId="19" xfId="43" applyFont="1" applyBorder="1" applyAlignment="1">
      <alignment horizontal="center" vertical="center" wrapText="1"/>
    </xf>
    <xf numFmtId="0" fontId="1" fillId="0" borderId="19" xfId="43" applyBorder="1" applyAlignment="1">
      <alignment horizontal="left" vertical="center" indent="5"/>
    </xf>
    <xf numFmtId="0" fontId="1" fillId="0" borderId="19" xfId="43" applyBorder="1" applyAlignment="1">
      <alignment horizontal="left" vertical="center" indent="7"/>
    </xf>
    <xf numFmtId="49" fontId="27" fillId="0" borderId="0" xfId="43" applyNumberFormat="1" applyFont="1" applyAlignment="1">
      <alignment horizontal="center" vertical="center"/>
    </xf>
    <xf numFmtId="0" fontId="0" fillId="0" borderId="19" xfId="0" applyBorder="1"/>
    <xf numFmtId="0" fontId="0" fillId="0" borderId="19" xfId="0" applyBorder="1" applyAlignment="1">
      <alignment horizontal="center" vertical="center"/>
    </xf>
    <xf numFmtId="0" fontId="68" fillId="0" borderId="0" xfId="0" applyFont="1" applyAlignment="1">
      <alignment horizontal="justify" vertical="center"/>
    </xf>
    <xf numFmtId="0" fontId="1" fillId="0" borderId="0" xfId="43" applyAlignment="1">
      <alignment vertical="center"/>
    </xf>
    <xf numFmtId="0" fontId="1" fillId="32" borderId="0" xfId="43" applyFill="1"/>
    <xf numFmtId="0" fontId="1" fillId="32" borderId="0" xfId="43" applyFill="1" applyAlignment="1">
      <alignment vertical="center"/>
    </xf>
    <xf numFmtId="0" fontId="1" fillId="0" borderId="19" xfId="0" applyFont="1" applyBorder="1" applyAlignment="1">
      <alignment horizontal="left" vertical="center" wrapText="1" indent="2"/>
    </xf>
    <xf numFmtId="0" fontId="3" fillId="0" borderId="19" xfId="43" applyFont="1" applyBorder="1" applyAlignment="1">
      <alignment horizontal="center" vertical="center" wrapText="1"/>
    </xf>
    <xf numFmtId="0" fontId="27" fillId="0" borderId="19" xfId="43" applyFont="1" applyBorder="1" applyAlignment="1">
      <alignment horizontal="center" vertical="center"/>
    </xf>
    <xf numFmtId="49" fontId="27" fillId="0" borderId="19" xfId="0" applyNumberFormat="1" applyFont="1" applyBorder="1" applyAlignment="1">
      <alignment horizontal="center" vertical="center"/>
    </xf>
    <xf numFmtId="49" fontId="27" fillId="0" borderId="19" xfId="43" applyNumberFormat="1" applyFont="1" applyBorder="1" applyAlignment="1">
      <alignment horizontal="center" vertical="center"/>
    </xf>
    <xf numFmtId="0" fontId="1" fillId="26" borderId="0" xfId="43" applyFill="1" applyAlignment="1">
      <alignment vertical="center"/>
    </xf>
    <xf numFmtId="0" fontId="1" fillId="26" borderId="0" xfId="43" applyFill="1"/>
    <xf numFmtId="49" fontId="42" fillId="0" borderId="19" xfId="43" applyNumberFormat="1" applyFont="1" applyBorder="1" applyAlignment="1">
      <alignment horizontal="center" vertical="center"/>
    </xf>
    <xf numFmtId="0" fontId="42" fillId="0" borderId="19" xfId="43" applyFont="1" applyBorder="1" applyAlignment="1">
      <alignment horizontal="center" vertical="center" wrapText="1"/>
    </xf>
    <xf numFmtId="49" fontId="42" fillId="0" borderId="19" xfId="43" applyNumberFormat="1" applyFont="1" applyBorder="1" applyAlignment="1">
      <alignment horizontal="center" vertical="center" wrapText="1"/>
    </xf>
    <xf numFmtId="0" fontId="2" fillId="0" borderId="0" xfId="43" applyFont="1" applyAlignment="1">
      <alignment vertical="center"/>
    </xf>
    <xf numFmtId="0" fontId="2" fillId="0" borderId="0" xfId="43" applyFont="1"/>
    <xf numFmtId="49" fontId="27" fillId="34" borderId="19" xfId="0" applyNumberFormat="1" applyFont="1" applyFill="1" applyBorder="1" applyAlignment="1">
      <alignment horizontal="center" vertical="center"/>
    </xf>
    <xf numFmtId="0" fontId="1" fillId="34" borderId="19" xfId="0" applyFont="1" applyFill="1" applyBorder="1" applyAlignment="1">
      <alignment vertical="center" wrapText="1"/>
    </xf>
    <xf numFmtId="0" fontId="27" fillId="34" borderId="19" xfId="43" applyFont="1" applyFill="1" applyBorder="1" applyAlignment="1">
      <alignment horizontal="center" vertical="center"/>
    </xf>
    <xf numFmtId="0" fontId="1" fillId="34" borderId="19" xfId="0" applyFont="1" applyFill="1" applyBorder="1" applyAlignment="1">
      <alignment horizontal="left" vertical="center" wrapText="1" indent="1"/>
    </xf>
    <xf numFmtId="0" fontId="0" fillId="34" borderId="19" xfId="0" applyFill="1" applyBorder="1" applyAlignment="1">
      <alignment horizontal="center" vertical="center"/>
    </xf>
    <xf numFmtId="2" fontId="27" fillId="34" borderId="19" xfId="43" applyNumberFormat="1" applyFont="1" applyFill="1" applyBorder="1" applyAlignment="1">
      <alignment horizontal="center" vertical="center"/>
    </xf>
    <xf numFmtId="2" fontId="27" fillId="34" borderId="19" xfId="0" applyNumberFormat="1" applyFont="1" applyFill="1" applyBorder="1" applyAlignment="1">
      <alignment horizontal="center" vertical="center"/>
    </xf>
    <xf numFmtId="2" fontId="27" fillId="0" borderId="19" xfId="43" applyNumberFormat="1" applyFont="1" applyBorder="1" applyAlignment="1">
      <alignment horizontal="center" vertical="center"/>
    </xf>
    <xf numFmtId="2" fontId="27" fillId="0" borderId="19" xfId="0" applyNumberFormat="1" applyFont="1" applyBorder="1" applyAlignment="1">
      <alignment horizontal="center" vertical="center"/>
    </xf>
    <xf numFmtId="2" fontId="72" fillId="0" borderId="19" xfId="0" applyNumberFormat="1" applyFont="1" applyBorder="1" applyAlignment="1">
      <alignment horizontal="center" vertical="center"/>
    </xf>
    <xf numFmtId="2" fontId="72" fillId="34" borderId="19" xfId="0" applyNumberFormat="1" applyFont="1" applyFill="1" applyBorder="1" applyAlignment="1">
      <alignment horizontal="center" vertical="center"/>
    </xf>
    <xf numFmtId="2" fontId="27" fillId="0" borderId="19" xfId="71" applyNumberFormat="1" applyFont="1" applyFill="1" applyBorder="1" applyAlignment="1">
      <alignment horizontal="center" vertical="center"/>
    </xf>
    <xf numFmtId="4" fontId="73" fillId="29" borderId="30" xfId="0" applyNumberFormat="1" applyFont="1" applyFill="1" applyBorder="1" applyAlignment="1">
      <alignment horizontal="center"/>
    </xf>
    <xf numFmtId="4" fontId="27" fillId="34" borderId="19" xfId="0" applyNumberFormat="1" applyFont="1" applyFill="1" applyBorder="1" applyAlignment="1">
      <alignment horizontal="center"/>
    </xf>
    <xf numFmtId="4" fontId="27" fillId="0" borderId="19" xfId="0" applyNumberFormat="1" applyFont="1" applyBorder="1" applyAlignment="1">
      <alignment horizontal="center"/>
    </xf>
    <xf numFmtId="0" fontId="72" fillId="0" borderId="19" xfId="0" applyFont="1" applyBorder="1"/>
    <xf numFmtId="0" fontId="72" fillId="0" borderId="19" xfId="0" applyFont="1" applyBorder="1" applyAlignment="1">
      <alignment horizontal="center" vertical="center"/>
    </xf>
    <xf numFmtId="0" fontId="27" fillId="0" borderId="31" xfId="43" applyFont="1" applyBorder="1" applyAlignment="1">
      <alignment horizontal="center" vertical="center"/>
    </xf>
    <xf numFmtId="0" fontId="27" fillId="0" borderId="31" xfId="43" applyFont="1" applyBorder="1" applyAlignment="1">
      <alignment horizontal="center"/>
    </xf>
    <xf numFmtId="0" fontId="72" fillId="0" borderId="19" xfId="0" applyFont="1" applyBorder="1" applyAlignment="1">
      <alignment horizontal="center"/>
    </xf>
    <xf numFmtId="4" fontId="54" fillId="0" borderId="19" xfId="0" applyNumberFormat="1" applyFont="1" applyBorder="1" applyAlignment="1">
      <alignment horizontal="center"/>
    </xf>
    <xf numFmtId="4" fontId="72" fillId="0" borderId="19" xfId="0" applyNumberFormat="1" applyFont="1" applyBorder="1" applyAlignment="1">
      <alignment horizontal="center"/>
    </xf>
    <xf numFmtId="4" fontId="27" fillId="0" borderId="19" xfId="43" applyNumberFormat="1" applyFont="1" applyBorder="1" applyAlignment="1">
      <alignment horizontal="center" vertical="center"/>
    </xf>
    <xf numFmtId="4" fontId="72" fillId="0" borderId="32" xfId="0" applyNumberFormat="1" applyFont="1" applyBorder="1" applyAlignment="1">
      <alignment horizontal="center" vertical="center"/>
    </xf>
    <xf numFmtId="4" fontId="72" fillId="0" borderId="33" xfId="0" applyNumberFormat="1" applyFont="1" applyBorder="1" applyAlignment="1">
      <alignment horizontal="center" vertical="center"/>
    </xf>
    <xf numFmtId="4" fontId="27" fillId="0" borderId="31" xfId="43" applyNumberFormat="1" applyFont="1" applyBorder="1" applyAlignment="1">
      <alignment horizontal="center" vertical="center"/>
    </xf>
    <xf numFmtId="0" fontId="72" fillId="34" borderId="19" xfId="0" applyFont="1" applyFill="1" applyBorder="1"/>
    <xf numFmtId="0" fontId="72" fillId="34" borderId="19" xfId="0" applyFont="1" applyFill="1" applyBorder="1" applyAlignment="1">
      <alignment horizontal="center" vertical="center"/>
    </xf>
    <xf numFmtId="4" fontId="72" fillId="0" borderId="19" xfId="0" applyNumberFormat="1" applyFont="1" applyBorder="1" applyAlignment="1">
      <alignment horizontal="center" vertical="center"/>
    </xf>
    <xf numFmtId="4" fontId="72" fillId="34" borderId="19" xfId="0" applyNumberFormat="1" applyFont="1" applyFill="1" applyBorder="1" applyAlignment="1">
      <alignment horizontal="center" vertical="center"/>
    </xf>
    <xf numFmtId="0" fontId="72" fillId="0" borderId="19" xfId="0" applyFont="1" applyBorder="1" applyAlignment="1">
      <alignment vertical="center"/>
    </xf>
    <xf numFmtId="2" fontId="72" fillId="0" borderId="19" xfId="0" applyNumberFormat="1" applyFont="1" applyBorder="1" applyAlignment="1">
      <alignment horizontal="center"/>
    </xf>
    <xf numFmtId="4" fontId="27" fillId="0" borderId="19" xfId="0" applyNumberFormat="1" applyFont="1" applyBorder="1" applyAlignment="1">
      <alignment horizontal="center" vertical="center"/>
    </xf>
    <xf numFmtId="4" fontId="27" fillId="34" borderId="19" xfId="0" applyNumberFormat="1" applyFont="1" applyFill="1" applyBorder="1" applyAlignment="1">
      <alignment horizontal="center" vertical="center"/>
    </xf>
    <xf numFmtId="4" fontId="74" fillId="0" borderId="19" xfId="0" applyNumberFormat="1" applyFont="1" applyBorder="1" applyAlignment="1">
      <alignment horizontal="center" vertical="center"/>
    </xf>
    <xf numFmtId="0" fontId="72" fillId="34" borderId="19" xfId="0" applyFont="1" applyFill="1" applyBorder="1" applyAlignment="1">
      <alignment vertical="center"/>
    </xf>
    <xf numFmtId="4" fontId="73" fillId="0" borderId="19" xfId="0" applyNumberFormat="1" applyFont="1" applyBorder="1" applyAlignment="1">
      <alignment horizontal="center"/>
    </xf>
    <xf numFmtId="2" fontId="72" fillId="0" borderId="31" xfId="0" applyNumberFormat="1" applyFont="1" applyBorder="1" applyAlignment="1">
      <alignment horizontal="center" vertical="center"/>
    </xf>
    <xf numFmtId="0" fontId="27" fillId="0" borderId="19" xfId="43" applyFont="1" applyBorder="1" applyAlignment="1">
      <alignment horizontal="center"/>
    </xf>
    <xf numFmtId="0" fontId="27" fillId="34" borderId="34" xfId="43" applyFont="1" applyFill="1" applyBorder="1" applyAlignment="1">
      <alignment horizontal="center" vertical="center"/>
    </xf>
    <xf numFmtId="0" fontId="0" fillId="34" borderId="35" xfId="0" applyFill="1" applyBorder="1" applyAlignment="1">
      <alignment horizontal="center" vertical="center"/>
    </xf>
    <xf numFmtId="4" fontId="27" fillId="34" borderId="31" xfId="0" applyNumberFormat="1" applyFont="1" applyFill="1" applyBorder="1" applyAlignment="1">
      <alignment horizontal="center" vertical="center"/>
    </xf>
    <xf numFmtId="2" fontId="72" fillId="34" borderId="31" xfId="0" applyNumberFormat="1" applyFont="1" applyFill="1" applyBorder="1" applyAlignment="1">
      <alignment horizontal="center" vertical="center"/>
    </xf>
    <xf numFmtId="2" fontId="27" fillId="0" borderId="31" xfId="43" applyNumberFormat="1" applyFont="1" applyBorder="1" applyAlignment="1">
      <alignment horizontal="center" vertical="center"/>
    </xf>
    <xf numFmtId="0" fontId="72" fillId="0" borderId="31" xfId="0" applyFont="1" applyBorder="1" applyAlignment="1">
      <alignment horizontal="center" vertical="center"/>
    </xf>
    <xf numFmtId="170" fontId="27" fillId="0" borderId="19" xfId="43" applyNumberFormat="1" applyFont="1" applyBorder="1" applyAlignment="1">
      <alignment horizontal="center" vertical="center"/>
    </xf>
    <xf numFmtId="9" fontId="27" fillId="0" borderId="19" xfId="80" applyFont="1" applyFill="1" applyBorder="1" applyAlignment="1">
      <alignment horizontal="center" vertical="center"/>
    </xf>
    <xf numFmtId="10" fontId="27" fillId="0" borderId="19" xfId="80" applyNumberFormat="1" applyFont="1" applyFill="1" applyBorder="1" applyAlignment="1">
      <alignment horizontal="center" vertical="center"/>
    </xf>
    <xf numFmtId="0" fontId="27" fillId="0" borderId="19" xfId="0" applyFont="1" applyBorder="1" applyAlignment="1">
      <alignment horizontal="center"/>
    </xf>
    <xf numFmtId="165" fontId="72" fillId="0" borderId="19" xfId="0" applyNumberFormat="1" applyFont="1" applyBorder="1" applyAlignment="1">
      <alignment horizontal="center"/>
    </xf>
    <xf numFmtId="0" fontId="27" fillId="0" borderId="32" xfId="43" applyFont="1" applyBorder="1" applyAlignment="1">
      <alignment horizontal="center" vertical="center"/>
    </xf>
    <xf numFmtId="0" fontId="27" fillId="34" borderId="35" xfId="43" applyFont="1" applyFill="1" applyBorder="1" applyAlignment="1">
      <alignment horizontal="center" vertical="center"/>
    </xf>
    <xf numFmtId="165" fontId="27" fillId="0" borderId="19" xfId="43" applyNumberFormat="1" applyFont="1" applyBorder="1" applyAlignment="1">
      <alignment horizontal="center"/>
    </xf>
    <xf numFmtId="2" fontId="27" fillId="0" borderId="19" xfId="0" applyNumberFormat="1" applyFont="1" applyBorder="1" applyAlignment="1">
      <alignment horizontal="center" vertical="center" wrapText="1"/>
    </xf>
    <xf numFmtId="2" fontId="27" fillId="0" borderId="19" xfId="43" applyNumberFormat="1" applyFont="1" applyBorder="1" applyAlignment="1">
      <alignment horizontal="center" vertical="center" wrapText="1"/>
    </xf>
    <xf numFmtId="0" fontId="27" fillId="34" borderId="19" xfId="43" applyFont="1" applyFill="1" applyBorder="1" applyAlignment="1">
      <alignment horizontal="center" vertical="center" wrapText="1"/>
    </xf>
    <xf numFmtId="4" fontId="27" fillId="0" borderId="19" xfId="43" applyNumberFormat="1" applyFont="1" applyBorder="1" applyAlignment="1">
      <alignment horizontal="center"/>
    </xf>
    <xf numFmtId="2" fontId="27" fillId="0" borderId="34" xfId="43" applyNumberFormat="1" applyFont="1" applyBorder="1" applyAlignment="1">
      <alignment horizontal="center" vertical="center"/>
    </xf>
    <xf numFmtId="2" fontId="27" fillId="0" borderId="19" xfId="43" applyNumberFormat="1" applyFont="1" applyBorder="1" applyAlignment="1">
      <alignment horizontal="center"/>
    </xf>
    <xf numFmtId="2" fontId="27" fillId="0" borderId="31" xfId="43" applyNumberFormat="1" applyFont="1" applyBorder="1" applyAlignment="1">
      <alignment horizontal="center" vertical="center" wrapText="1"/>
    </xf>
    <xf numFmtId="1" fontId="27" fillId="34" borderId="19" xfId="43" applyNumberFormat="1" applyFont="1" applyFill="1" applyBorder="1" applyAlignment="1">
      <alignment horizontal="center" vertical="center"/>
    </xf>
    <xf numFmtId="0" fontId="27" fillId="0" borderId="32" xfId="43" applyFont="1" applyBorder="1" applyAlignment="1">
      <alignment horizontal="center" vertical="center" wrapText="1"/>
    </xf>
    <xf numFmtId="1" fontId="27" fillId="34" borderId="19" xfId="71" applyNumberFormat="1" applyFont="1" applyFill="1" applyBorder="1" applyAlignment="1">
      <alignment horizontal="center" vertical="center"/>
    </xf>
    <xf numFmtId="1" fontId="72" fillId="34" borderId="19" xfId="0" applyNumberFormat="1" applyFont="1" applyFill="1" applyBorder="1" applyAlignment="1">
      <alignment horizontal="center"/>
    </xf>
    <xf numFmtId="4" fontId="74" fillId="34" borderId="19" xfId="0" applyNumberFormat="1" applyFont="1" applyFill="1" applyBorder="1" applyAlignment="1">
      <alignment horizontal="center" vertical="center"/>
    </xf>
    <xf numFmtId="0" fontId="74" fillId="34" borderId="19" xfId="0" applyFont="1" applyFill="1" applyBorder="1" applyAlignment="1">
      <alignment horizontal="center" vertical="center"/>
    </xf>
    <xf numFmtId="4" fontId="27" fillId="29" borderId="19" xfId="0" applyNumberFormat="1" applyFont="1" applyFill="1" applyBorder="1" applyAlignment="1">
      <alignment horizontal="center" vertical="center"/>
    </xf>
    <xf numFmtId="0" fontId="27" fillId="34" borderId="19" xfId="0" applyFont="1" applyFill="1" applyBorder="1" applyAlignment="1">
      <alignment horizontal="center" vertical="center"/>
    </xf>
    <xf numFmtId="2" fontId="72" fillId="0" borderId="0" xfId="0" applyNumberFormat="1" applyFont="1" applyAlignment="1">
      <alignment horizontal="center" vertical="center"/>
    </xf>
    <xf numFmtId="0" fontId="27" fillId="34" borderId="31" xfId="43" applyFont="1" applyFill="1" applyBorder="1" applyAlignment="1">
      <alignment horizontal="center" vertical="center"/>
    </xf>
    <xf numFmtId="4" fontId="27" fillId="0" borderId="32" xfId="0" applyNumberFormat="1" applyFont="1" applyBorder="1" applyAlignment="1">
      <alignment horizontal="center" vertical="center"/>
    </xf>
    <xf numFmtId="49" fontId="27" fillId="0" borderId="0" xfId="43" applyNumberFormat="1" applyFont="1" applyAlignment="1">
      <alignment horizontal="left" vertical="center"/>
    </xf>
    <xf numFmtId="49" fontId="77" fillId="0" borderId="0" xfId="43" applyNumberFormat="1" applyFont="1" applyAlignment="1">
      <alignment horizontal="left" vertical="center"/>
    </xf>
    <xf numFmtId="0" fontId="77" fillId="0" borderId="0" xfId="43" applyFont="1" applyAlignment="1">
      <alignment wrapText="1"/>
    </xf>
    <xf numFmtId="0" fontId="77" fillId="0" borderId="0" xfId="43" applyFont="1" applyAlignment="1">
      <alignment horizontal="center" vertical="center" wrapText="1"/>
    </xf>
    <xf numFmtId="0" fontId="77" fillId="0" borderId="0" xfId="43" applyFont="1"/>
    <xf numFmtId="171" fontId="27" fillId="0" borderId="19" xfId="43" applyNumberFormat="1" applyFont="1" applyBorder="1" applyAlignment="1">
      <alignment horizontal="center" vertical="center" wrapText="1"/>
    </xf>
    <xf numFmtId="171" fontId="27" fillId="0" borderId="31" xfId="43" applyNumberFormat="1" applyFont="1" applyBorder="1" applyAlignment="1">
      <alignment horizontal="center" vertical="center" wrapText="1"/>
    </xf>
    <xf numFmtId="0" fontId="2" fillId="0" borderId="32" xfId="43" applyFont="1" applyBorder="1" applyAlignment="1">
      <alignment horizontal="center" vertical="center" wrapText="1"/>
    </xf>
    <xf numFmtId="171" fontId="72" fillId="0" borderId="19" xfId="0" applyNumberFormat="1" applyFont="1" applyBorder="1" applyAlignment="1">
      <alignment horizontal="center" vertical="center"/>
    </xf>
    <xf numFmtId="10" fontId="72" fillId="0" borderId="19" xfId="0" applyNumberFormat="1" applyFont="1" applyBorder="1" applyAlignment="1">
      <alignment horizontal="center" vertical="center"/>
    </xf>
    <xf numFmtId="171" fontId="72" fillId="0" borderId="19" xfId="0" applyNumberFormat="1" applyFont="1" applyBorder="1" applyAlignment="1">
      <alignment horizontal="center"/>
    </xf>
    <xf numFmtId="171" fontId="27" fillId="0" borderId="19" xfId="0" applyNumberFormat="1" applyFont="1" applyBorder="1" applyAlignment="1">
      <alignment horizontal="center"/>
    </xf>
    <xf numFmtId="0" fontId="72" fillId="0" borderId="31" xfId="0" applyFont="1" applyBorder="1" applyAlignment="1">
      <alignment vertical="center"/>
    </xf>
    <xf numFmtId="4" fontId="1" fillId="0" borderId="19" xfId="0" applyNumberFormat="1" applyFont="1" applyBorder="1" applyAlignment="1">
      <alignment horizontal="center"/>
    </xf>
    <xf numFmtId="171" fontId="27" fillId="0" borderId="19" xfId="0" applyNumberFormat="1" applyFont="1" applyBorder="1" applyAlignment="1">
      <alignment horizontal="center" vertical="center"/>
    </xf>
    <xf numFmtId="169" fontId="73" fillId="0" borderId="19" xfId="0" applyNumberFormat="1" applyFont="1" applyBorder="1" applyAlignment="1">
      <alignment horizontal="right"/>
    </xf>
    <xf numFmtId="10" fontId="1" fillId="0" borderId="32" xfId="80" applyNumberFormat="1" applyFont="1" applyFill="1" applyBorder="1" applyAlignment="1">
      <alignment horizontal="center"/>
    </xf>
    <xf numFmtId="2" fontId="27" fillId="0" borderId="32" xfId="43" applyNumberFormat="1" applyFont="1" applyBorder="1" applyAlignment="1">
      <alignment horizontal="center" vertical="center" wrapText="1"/>
    </xf>
    <xf numFmtId="49" fontId="42" fillId="0" borderId="17" xfId="43" applyNumberFormat="1" applyFont="1" applyBorder="1" applyAlignment="1">
      <alignment horizontal="center" vertical="center" wrapText="1"/>
    </xf>
    <xf numFmtId="171" fontId="52" fillId="0" borderId="19" xfId="0" applyNumberFormat="1" applyFont="1" applyBorder="1" applyAlignment="1">
      <alignment horizontal="center" vertical="center"/>
    </xf>
    <xf numFmtId="171" fontId="1" fillId="0" borderId="19" xfId="0" applyNumberFormat="1" applyFont="1" applyBorder="1" applyAlignment="1">
      <alignment horizontal="center" vertical="center"/>
    </xf>
    <xf numFmtId="4" fontId="27" fillId="34" borderId="19" xfId="43" applyNumberFormat="1" applyFont="1" applyFill="1" applyBorder="1" applyAlignment="1">
      <alignment horizontal="center" vertical="center"/>
    </xf>
    <xf numFmtId="4" fontId="72" fillId="26" borderId="19" xfId="0" applyNumberFormat="1" applyFont="1" applyFill="1" applyBorder="1" applyAlignment="1">
      <alignment horizontal="center" vertical="center"/>
    </xf>
    <xf numFmtId="0" fontId="59" fillId="0" borderId="0" xfId="56" applyFont="1" applyAlignment="1">
      <alignment horizontal="center" vertical="center" wrapText="1"/>
    </xf>
    <xf numFmtId="0" fontId="2" fillId="33" borderId="28" xfId="0" applyFont="1" applyFill="1" applyBorder="1" applyAlignment="1">
      <alignment horizontal="center" vertical="center" wrapText="1"/>
    </xf>
    <xf numFmtId="0" fontId="2" fillId="33" borderId="0" xfId="0" applyFont="1" applyFill="1" applyAlignment="1">
      <alignment horizontal="center" vertical="center" wrapText="1"/>
    </xf>
    <xf numFmtId="0" fontId="2" fillId="33" borderId="19" xfId="0" applyFont="1" applyFill="1" applyBorder="1" applyAlignment="1">
      <alignment horizontal="center" vertical="center" wrapText="1"/>
    </xf>
    <xf numFmtId="0" fontId="59" fillId="0" borderId="0" xfId="56" applyFont="1" applyAlignment="1">
      <alignment horizontal="left" vertical="center" wrapText="1"/>
    </xf>
    <xf numFmtId="0" fontId="59" fillId="0" borderId="0" xfId="41" applyFont="1" applyAlignment="1">
      <alignment horizontal="center" vertical="center" wrapText="1"/>
    </xf>
    <xf numFmtId="49" fontId="71" fillId="0" borderId="19" xfId="43" applyNumberFormat="1" applyFont="1" applyBorder="1" applyAlignment="1">
      <alignment horizontal="center" vertical="center"/>
    </xf>
    <xf numFmtId="0" fontId="3" fillId="0" borderId="19" xfId="43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49" fontId="42" fillId="0" borderId="19" xfId="43" applyNumberFormat="1" applyFont="1" applyBorder="1" applyAlignment="1">
      <alignment horizontal="center" vertical="center" wrapText="1"/>
    </xf>
    <xf numFmtId="0" fontId="43" fillId="0" borderId="0" xfId="43" applyFont="1" applyAlignment="1">
      <alignment horizontal="center" vertical="center" wrapText="1"/>
    </xf>
    <xf numFmtId="0" fontId="70" fillId="0" borderId="0" xfId="43" applyFont="1" applyAlignment="1">
      <alignment horizontal="center" vertical="center" wrapText="1"/>
    </xf>
    <xf numFmtId="0" fontId="68" fillId="0" borderId="0" xfId="0" applyFont="1" applyAlignment="1">
      <alignment horizontal="center" vertical="center"/>
    </xf>
    <xf numFmtId="0" fontId="69" fillId="0" borderId="0" xfId="0" applyFont="1" applyAlignment="1">
      <alignment horizontal="center" vertical="top"/>
    </xf>
    <xf numFmtId="0" fontId="68" fillId="0" borderId="0" xfId="0" applyFont="1" applyAlignment="1">
      <alignment horizontal="center" vertical="center" wrapText="1"/>
    </xf>
    <xf numFmtId="0" fontId="44" fillId="0" borderId="0" xfId="0" applyFont="1" applyAlignment="1">
      <alignment horizontal="center" vertical="top" wrapText="1"/>
    </xf>
    <xf numFmtId="0" fontId="1" fillId="0" borderId="19" xfId="43" applyBorder="1" applyAlignment="1">
      <alignment horizontal="left" vertical="center" wrapText="1"/>
    </xf>
    <xf numFmtId="0" fontId="70" fillId="0" borderId="26" xfId="43" applyFont="1" applyBorder="1" applyAlignment="1">
      <alignment horizontal="center" vertical="center" wrapText="1"/>
    </xf>
    <xf numFmtId="0" fontId="70" fillId="0" borderId="29" xfId="43" applyFont="1" applyBorder="1" applyAlignment="1">
      <alignment horizontal="center" vertical="center" wrapText="1"/>
    </xf>
    <xf numFmtId="0" fontId="2" fillId="0" borderId="32" xfId="43" applyFont="1" applyBorder="1" applyAlignment="1">
      <alignment horizontal="center" vertical="center" wrapText="1"/>
    </xf>
    <xf numFmtId="0" fontId="2" fillId="0" borderId="31" xfId="43" applyFont="1" applyBorder="1" applyAlignment="1">
      <alignment horizontal="center" vertical="center" wrapText="1"/>
    </xf>
    <xf numFmtId="4" fontId="72" fillId="0" borderId="19" xfId="0" applyNumberFormat="1" applyFont="1" applyFill="1" applyBorder="1" applyAlignment="1">
      <alignment horizontal="center" vertical="center"/>
    </xf>
    <xf numFmtId="2" fontId="72" fillId="0" borderId="19" xfId="0" applyNumberFormat="1" applyFont="1" applyFill="1" applyBorder="1" applyAlignment="1">
      <alignment horizontal="center" vertical="center"/>
    </xf>
    <xf numFmtId="1" fontId="27" fillId="34" borderId="31" xfId="71" applyNumberFormat="1" applyFont="1" applyFill="1" applyBorder="1" applyAlignment="1">
      <alignment horizontal="center" vertical="center"/>
    </xf>
    <xf numFmtId="3" fontId="1" fillId="34" borderId="33" xfId="0" applyNumberFormat="1" applyFont="1" applyFill="1" applyBorder="1" applyAlignment="1">
      <alignment horizontal="center"/>
    </xf>
  </cellXfs>
  <cellStyles count="81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Normal 2" xfId="19" xr:uid="{00000000-0005-0000-0000-000012000000}"/>
    <cellStyle name="Акцент1 2" xfId="20" xr:uid="{00000000-0005-0000-0000-000013000000}"/>
    <cellStyle name="Акцент2 2" xfId="21" xr:uid="{00000000-0005-0000-0000-000014000000}"/>
    <cellStyle name="Акцент3 2" xfId="22" xr:uid="{00000000-0005-0000-0000-000015000000}"/>
    <cellStyle name="Акцент4 2" xfId="23" xr:uid="{00000000-0005-0000-0000-000016000000}"/>
    <cellStyle name="Акцент5 2" xfId="24" xr:uid="{00000000-0005-0000-0000-000017000000}"/>
    <cellStyle name="Акцент6 2" xfId="25" xr:uid="{00000000-0005-0000-0000-000018000000}"/>
    <cellStyle name="Ввод  2" xfId="26" xr:uid="{00000000-0005-0000-0000-000019000000}"/>
    <cellStyle name="Вывод 2" xfId="27" xr:uid="{00000000-0005-0000-0000-00001A000000}"/>
    <cellStyle name="Вычисление 2" xfId="28" xr:uid="{00000000-0005-0000-0000-00001B000000}"/>
    <cellStyle name="Заголовок 1 2" xfId="29" xr:uid="{00000000-0005-0000-0000-00001C000000}"/>
    <cellStyle name="Заголовок 2 2" xfId="30" xr:uid="{00000000-0005-0000-0000-00001D000000}"/>
    <cellStyle name="Заголовок 3 2" xfId="31" xr:uid="{00000000-0005-0000-0000-00001E000000}"/>
    <cellStyle name="Заголовок 4 2" xfId="32" xr:uid="{00000000-0005-0000-0000-00001F000000}"/>
    <cellStyle name="Итог 2" xfId="33" xr:uid="{00000000-0005-0000-0000-000020000000}"/>
    <cellStyle name="Контрольная ячейка 2" xfId="34" xr:uid="{00000000-0005-0000-0000-000021000000}"/>
    <cellStyle name="Название 2" xfId="35" xr:uid="{00000000-0005-0000-0000-000022000000}"/>
    <cellStyle name="Нейтральный 2" xfId="36" xr:uid="{00000000-0005-0000-0000-000023000000}"/>
    <cellStyle name="Обычный" xfId="0" builtinId="0"/>
    <cellStyle name="Обычный 12" xfId="37" xr:uid="{00000000-0005-0000-0000-000025000000}"/>
    <cellStyle name="Обычный 12 2" xfId="38" xr:uid="{00000000-0005-0000-0000-000026000000}"/>
    <cellStyle name="Обычный 2" xfId="39" xr:uid="{00000000-0005-0000-0000-000027000000}"/>
    <cellStyle name="Обычный 2 26 2" xfId="40" xr:uid="{00000000-0005-0000-0000-000028000000}"/>
    <cellStyle name="Обычный 3" xfId="41" xr:uid="{00000000-0005-0000-0000-000029000000}"/>
    <cellStyle name="Обычный 3 10 2" xfId="42" xr:uid="{00000000-0005-0000-0000-00002A000000}"/>
    <cellStyle name="Обычный 3 2" xfId="43" xr:uid="{00000000-0005-0000-0000-00002B000000}"/>
    <cellStyle name="Обычный 3 2 2 2" xfId="44" xr:uid="{00000000-0005-0000-0000-00002C000000}"/>
    <cellStyle name="Обычный 3 21" xfId="45" xr:uid="{00000000-0005-0000-0000-00002D000000}"/>
    <cellStyle name="Обычный 30" xfId="46" xr:uid="{00000000-0005-0000-0000-00002E000000}"/>
    <cellStyle name="Обычный 4" xfId="47" xr:uid="{00000000-0005-0000-0000-00002F000000}"/>
    <cellStyle name="Обычный 4 2" xfId="48" xr:uid="{00000000-0005-0000-0000-000030000000}"/>
    <cellStyle name="Обычный 5" xfId="49" xr:uid="{00000000-0005-0000-0000-000031000000}"/>
    <cellStyle name="Обычный 6" xfId="50" xr:uid="{00000000-0005-0000-0000-000032000000}"/>
    <cellStyle name="Обычный 6 2" xfId="51" xr:uid="{00000000-0005-0000-0000-000033000000}"/>
    <cellStyle name="Обычный 6 2 2" xfId="52" xr:uid="{00000000-0005-0000-0000-000034000000}"/>
    <cellStyle name="Обычный 6 2 3" xfId="53" xr:uid="{00000000-0005-0000-0000-000035000000}"/>
    <cellStyle name="Обычный 7" xfId="54" xr:uid="{00000000-0005-0000-0000-000036000000}"/>
    <cellStyle name="Обычный 7 2" xfId="55" xr:uid="{00000000-0005-0000-0000-000037000000}"/>
    <cellStyle name="Обычный 8" xfId="56" xr:uid="{00000000-0005-0000-0000-000038000000}"/>
    <cellStyle name="Обычный_BPnov (1)" xfId="57" xr:uid="{00000000-0005-0000-0000-000039000000}"/>
    <cellStyle name="Обычный_Сводка для эот" xfId="58" xr:uid="{00000000-0005-0000-0000-00003A000000}"/>
    <cellStyle name="Обычный_Формат МЭ  - (кор  08 09 2010) 2" xfId="59" xr:uid="{00000000-0005-0000-0000-00003B000000}"/>
    <cellStyle name="Плохой 2" xfId="60" xr:uid="{00000000-0005-0000-0000-00003C000000}"/>
    <cellStyle name="Пояснение 2" xfId="61" xr:uid="{00000000-0005-0000-0000-00003D000000}"/>
    <cellStyle name="Примечание 2" xfId="62" xr:uid="{00000000-0005-0000-0000-00003E000000}"/>
    <cellStyle name="Процентный" xfId="80" builtinId="5"/>
    <cellStyle name="Процентный 2" xfId="63" xr:uid="{00000000-0005-0000-0000-00003F000000}"/>
    <cellStyle name="Процентный 2 3" xfId="64" xr:uid="{00000000-0005-0000-0000-000040000000}"/>
    <cellStyle name="Процентный 2 3 2" xfId="65" xr:uid="{00000000-0005-0000-0000-000041000000}"/>
    <cellStyle name="Процентный 3" xfId="66" xr:uid="{00000000-0005-0000-0000-000042000000}"/>
    <cellStyle name="Процентный 4" xfId="67" xr:uid="{00000000-0005-0000-0000-000043000000}"/>
    <cellStyle name="Связанная ячейка 2" xfId="68" xr:uid="{00000000-0005-0000-0000-000044000000}"/>
    <cellStyle name="Стиль 1" xfId="69" xr:uid="{00000000-0005-0000-0000-000045000000}"/>
    <cellStyle name="Текст предупреждения 2" xfId="70" xr:uid="{00000000-0005-0000-0000-000046000000}"/>
    <cellStyle name="Финансовый" xfId="71" builtinId="3"/>
    <cellStyle name="Финансовый 2" xfId="72" xr:uid="{00000000-0005-0000-0000-000048000000}"/>
    <cellStyle name="Финансовый 2 2 2 2 2" xfId="73" xr:uid="{00000000-0005-0000-0000-000049000000}"/>
    <cellStyle name="Финансовый 3" xfId="74" xr:uid="{00000000-0005-0000-0000-00004A000000}"/>
    <cellStyle name="Финансовый 5" xfId="75" xr:uid="{00000000-0005-0000-0000-00004B000000}"/>
    <cellStyle name="Финансовый 5 2" xfId="76" xr:uid="{00000000-0005-0000-0000-00004C000000}"/>
    <cellStyle name="Финансовый 6" xfId="77" xr:uid="{00000000-0005-0000-0000-00004D000000}"/>
    <cellStyle name="Финансовый_Смета 2000 г." xfId="78" xr:uid="{00000000-0005-0000-0000-00004E000000}"/>
    <cellStyle name="Хороший 2" xfId="79" xr:uid="{00000000-0005-0000-0000-00004F000000}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Y:\&#1060;&#1080;&#1085;&#1072;&#1085;&#1089;&#1086;&#1074;&#1086;&#1077;%20&#1091;&#1087;&#1088;&#1072;&#1074;&#1083;&#1077;&#1085;&#1080;&#1077;\&#1056;&#1072;&#1073;&#1086;&#1095;&#1080;&#1077;%20&#1076;&#1086;&#1082;&#1091;&#1084;&#1077;&#1085;&#1090;&#1099;\&#1048;&#1085;&#1074;&#1077;&#1089;&#1090;&#1080;&#1094;&#1080;&#1086;&#1085;&#1085;&#1072;&#1103;%20&#1087;&#1088;&#1086;&#1075;&#1088;&#1072;&#1084;&#1084;&#1072;%20(&#1048;&#1055;)\2023\&#1086;&#1090;&#1095;&#1077;&#1090;&#1085;&#1086;&#1089;&#1090;&#1100;%20&#1074;%20&#1084;&#1080;&#1085;&#1087;&#1088;&#1086;&#1084;\&#1088;&#1072;&#1089;&#1096;&#1080;&#1092;&#1088;&#1086;&#1074;&#1082;&#1072;%20&#1092;&#1080;&#1085;&#1087;&#1083;&#1072;&#1085;&#1072;%202023.xlsx" TargetMode="External"/><Relationship Id="rId1" Type="http://schemas.openxmlformats.org/officeDocument/2006/relationships/externalLinkPath" Target="/&#1060;&#1080;&#1085;&#1072;&#1085;&#1089;&#1086;&#1074;&#1086;&#1077;%20&#1091;&#1087;&#1088;&#1072;&#1074;&#1083;&#1077;&#1085;&#1080;&#1077;/&#1056;&#1072;&#1073;&#1086;&#1095;&#1080;&#1077;%20&#1076;&#1086;&#1082;&#1091;&#1084;&#1077;&#1085;&#1090;&#1099;/&#1048;&#1085;&#1074;&#1077;&#1089;&#1090;&#1080;&#1094;&#1080;&#1086;&#1085;&#1085;&#1072;&#1103;%20&#1087;&#1088;&#1086;&#1075;&#1088;&#1072;&#1084;&#1084;&#1072;%20(&#1048;&#1055;)/2023/&#1086;&#1090;&#1095;&#1077;&#1090;&#1085;&#1086;&#1089;&#1090;&#1100;%20&#1074;%20&#1084;&#1080;&#1085;&#1087;&#1088;&#1086;&#1084;/&#1088;&#1072;&#1089;&#1096;&#1080;&#1092;&#1088;&#1086;&#1074;&#1082;&#1072;%20&#1092;&#1080;&#1085;&#1087;&#1083;&#1072;&#1085;&#1072;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20 форма минпрома"/>
      <sheetName val="макет 4.40 минэнерго"/>
      <sheetName val="макет 4.37"/>
    </sheetNames>
    <sheetDataSet>
      <sheetData sheetId="0">
        <row r="12">
          <cell r="DE12">
            <v>480650.41</v>
          </cell>
        </row>
        <row r="13">
          <cell r="DE13">
            <v>480650.41</v>
          </cell>
        </row>
        <row r="16">
          <cell r="DE16">
            <v>471876.18</v>
          </cell>
        </row>
        <row r="17">
          <cell r="DE17">
            <v>215674.03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06" customWidth="1"/>
    <col min="2" max="2" width="88.140625" style="106" customWidth="1"/>
    <col min="3" max="3" width="19.5703125" style="106" customWidth="1"/>
    <col min="4" max="4" width="18.140625" style="106" bestFit="1" customWidth="1"/>
    <col min="5" max="6" width="18.7109375" style="106" bestFit="1" customWidth="1"/>
    <col min="7" max="7" width="13.28515625" style="65" hidden="1" customWidth="1"/>
    <col min="8" max="8" width="87.5703125" style="65" customWidth="1"/>
    <col min="9" max="9" width="68.7109375" style="65" customWidth="1"/>
    <col min="10" max="10" width="9.85546875" style="65" customWidth="1"/>
    <col min="11" max="16384" width="9.85546875" style="65"/>
  </cols>
  <sheetData>
    <row r="1" spans="1:8" x14ac:dyDescent="0.25">
      <c r="A1" s="393" t="s">
        <v>233</v>
      </c>
      <c r="B1" s="394"/>
      <c r="C1" s="394"/>
      <c r="D1" s="394"/>
      <c r="E1" s="394"/>
      <c r="F1" s="394"/>
      <c r="G1" s="394"/>
    </row>
    <row r="2" spans="1:8" ht="16.5" thickBot="1" x14ac:dyDescent="0.3">
      <c r="A2" s="66" t="s">
        <v>0</v>
      </c>
      <c r="B2" s="67" t="s">
        <v>234</v>
      </c>
      <c r="C2" s="68" t="s">
        <v>235</v>
      </c>
      <c r="D2" s="68" t="s">
        <v>236</v>
      </c>
      <c r="E2" s="68" t="s">
        <v>237</v>
      </c>
      <c r="F2" s="68" t="s">
        <v>238</v>
      </c>
      <c r="G2" s="68" t="s">
        <v>195</v>
      </c>
    </row>
    <row r="3" spans="1:8" ht="16.5" thickBot="1" x14ac:dyDescent="0.3">
      <c r="A3" s="69">
        <v>1</v>
      </c>
      <c r="B3" s="70">
        <v>2</v>
      </c>
      <c r="C3" s="71"/>
      <c r="D3" s="71">
        <v>4</v>
      </c>
      <c r="E3" s="71">
        <v>5</v>
      </c>
      <c r="F3" s="71">
        <v>5</v>
      </c>
      <c r="G3" s="72"/>
    </row>
    <row r="4" spans="1:8" x14ac:dyDescent="0.25">
      <c r="A4" s="73" t="s">
        <v>239</v>
      </c>
      <c r="B4" s="74" t="s">
        <v>240</v>
      </c>
      <c r="C4" s="75">
        <v>1471.4087790958158</v>
      </c>
      <c r="D4" s="75">
        <v>1573.3819227067406</v>
      </c>
      <c r="E4" s="75">
        <v>1585.7592146296631</v>
      </c>
      <c r="F4" s="75">
        <v>1649.5931772703236</v>
      </c>
      <c r="G4" s="76">
        <f>SUM(C4:F4)</f>
        <v>6280.1430937025425</v>
      </c>
      <c r="H4" s="77"/>
    </row>
    <row r="5" spans="1:8" x14ac:dyDescent="0.25">
      <c r="A5" s="78"/>
      <c r="B5" s="79" t="s">
        <v>241</v>
      </c>
      <c r="C5" s="75"/>
      <c r="D5" s="75"/>
      <c r="E5" s="75"/>
      <c r="F5" s="75"/>
      <c r="G5" s="76" t="e">
        <f>#N/A</f>
        <v>#N/A</v>
      </c>
    </row>
    <row r="6" spans="1:8" ht="31.5" x14ac:dyDescent="0.25">
      <c r="A6" s="78" t="s">
        <v>242</v>
      </c>
      <c r="B6" s="79" t="s">
        <v>243</v>
      </c>
      <c r="C6" s="80">
        <v>1393.5521911251199</v>
      </c>
      <c r="D6" s="75">
        <v>1487.8664643789443</v>
      </c>
      <c r="E6" s="75">
        <v>1527.3172112506459</v>
      </c>
      <c r="F6" s="75">
        <v>1587.9392953829388</v>
      </c>
      <c r="G6" s="76" t="e">
        <f>#N/A</f>
        <v>#N/A</v>
      </c>
      <c r="H6" s="77"/>
    </row>
    <row r="7" spans="1:8" x14ac:dyDescent="0.25">
      <c r="A7" s="81" t="s">
        <v>244</v>
      </c>
      <c r="B7" s="79" t="s">
        <v>245</v>
      </c>
      <c r="C7" s="80">
        <v>77.856587970695983</v>
      </c>
      <c r="D7" s="75">
        <v>85.515458327796352</v>
      </c>
      <c r="E7" s="75">
        <v>58.442003379017144</v>
      </c>
      <c r="F7" s="75">
        <v>61.653881887384891</v>
      </c>
      <c r="G7" s="76" t="e">
        <f>#N/A</f>
        <v>#N/A</v>
      </c>
      <c r="H7" s="77"/>
    </row>
    <row r="8" spans="1:8" x14ac:dyDescent="0.25">
      <c r="A8" s="82" t="s">
        <v>246</v>
      </c>
      <c r="B8" s="74" t="s">
        <v>247</v>
      </c>
      <c r="C8" s="83">
        <v>1771.9911320000001</v>
      </c>
      <c r="D8" s="75">
        <v>1891.5538059999997</v>
      </c>
      <c r="E8" s="75">
        <v>1908.3476839999998</v>
      </c>
      <c r="F8" s="75">
        <v>1955.6517599999997</v>
      </c>
      <c r="G8" s="76" t="e">
        <f>#N/A</f>
        <v>#N/A</v>
      </c>
      <c r="H8" s="77"/>
    </row>
    <row r="9" spans="1:8" x14ac:dyDescent="0.25">
      <c r="A9" s="84" t="s">
        <v>73</v>
      </c>
      <c r="B9" s="74" t="s">
        <v>248</v>
      </c>
      <c r="C9" s="83">
        <v>581.75411182272308</v>
      </c>
      <c r="D9" s="75">
        <v>602.76269116160211</v>
      </c>
      <c r="E9" s="75">
        <v>624.65447809439888</v>
      </c>
      <c r="F9" s="75">
        <v>649.33861305256653</v>
      </c>
      <c r="G9" s="76" t="e">
        <f>#N/A</f>
        <v>#N/A</v>
      </c>
      <c r="H9" s="85"/>
    </row>
    <row r="10" spans="1:8" x14ac:dyDescent="0.25">
      <c r="A10" s="78"/>
      <c r="B10" s="79" t="s">
        <v>241</v>
      </c>
      <c r="C10" s="86"/>
      <c r="D10" s="87"/>
      <c r="E10" s="87"/>
      <c r="F10" s="87"/>
      <c r="G10" s="76" t="e">
        <f>#N/A</f>
        <v>#N/A</v>
      </c>
      <c r="H10" s="88"/>
    </row>
    <row r="11" spans="1:8" x14ac:dyDescent="0.25">
      <c r="A11" s="78" t="s">
        <v>242</v>
      </c>
      <c r="B11" s="79" t="s">
        <v>249</v>
      </c>
      <c r="C11" s="86">
        <v>531.86404964964311</v>
      </c>
      <c r="D11" s="87">
        <v>550.01240520932345</v>
      </c>
      <c r="E11" s="87">
        <v>568.79355056220675</v>
      </c>
      <c r="F11" s="87">
        <v>589.84546384991336</v>
      </c>
      <c r="G11" s="76" t="e">
        <f>#N/A</f>
        <v>#N/A</v>
      </c>
    </row>
    <row r="12" spans="1:8" x14ac:dyDescent="0.25">
      <c r="A12" s="78" t="s">
        <v>244</v>
      </c>
      <c r="B12" s="79" t="s">
        <v>2</v>
      </c>
      <c r="C12" s="86">
        <v>31.666067833079996</v>
      </c>
      <c r="D12" s="87">
        <v>32.87315513539864</v>
      </c>
      <c r="E12" s="87">
        <v>34.354445003837562</v>
      </c>
      <c r="F12" s="87">
        <v>36.24393947904862</v>
      </c>
      <c r="G12" s="76" t="e">
        <f>#N/A</f>
        <v>#N/A</v>
      </c>
    </row>
    <row r="13" spans="1:8" x14ac:dyDescent="0.25">
      <c r="A13" s="78" t="s">
        <v>250</v>
      </c>
      <c r="B13" s="79" t="s">
        <v>251</v>
      </c>
      <c r="C13" s="86">
        <v>18.223994339999997</v>
      </c>
      <c r="D13" s="87">
        <v>19.877130816879994</v>
      </c>
      <c r="E13" s="87">
        <v>21.506482528354638</v>
      </c>
      <c r="F13" s="87">
        <v>23.249209723604455</v>
      </c>
      <c r="G13" s="76" t="e">
        <f>#N/A</f>
        <v>#N/A</v>
      </c>
      <c r="H13" s="89"/>
    </row>
    <row r="14" spans="1:8" x14ac:dyDescent="0.25">
      <c r="A14" s="84" t="s">
        <v>108</v>
      </c>
      <c r="B14" s="74" t="s">
        <v>8</v>
      </c>
      <c r="C14" s="83">
        <v>490.76007416401131</v>
      </c>
      <c r="D14" s="75">
        <v>509.40895698224375</v>
      </c>
      <c r="E14" s="75">
        <v>532.33236004644471</v>
      </c>
      <c r="F14" s="75">
        <v>561.6106398489992</v>
      </c>
      <c r="G14" s="76" t="e">
        <f>#N/A</f>
        <v>#N/A</v>
      </c>
    </row>
    <row r="15" spans="1:8" x14ac:dyDescent="0.25">
      <c r="A15" s="84" t="s">
        <v>179</v>
      </c>
      <c r="B15" s="74" t="s">
        <v>3</v>
      </c>
      <c r="C15" s="83">
        <v>182.08791219999995</v>
      </c>
      <c r="D15" s="90">
        <v>248.444089961</v>
      </c>
      <c r="E15" s="90">
        <v>249.09855200399997</v>
      </c>
      <c r="F15" s="90">
        <v>247.51132661719998</v>
      </c>
      <c r="G15" s="76" t="e">
        <f>#N/A</f>
        <v>#N/A</v>
      </c>
      <c r="H15" s="89"/>
    </row>
    <row r="16" spans="1:8" x14ac:dyDescent="0.25">
      <c r="A16" s="84" t="s">
        <v>252</v>
      </c>
      <c r="B16" s="74" t="s">
        <v>253</v>
      </c>
      <c r="C16" s="83">
        <v>12.714032999999999</v>
      </c>
      <c r="D16" s="75">
        <v>13.451446914</v>
      </c>
      <c r="E16" s="75">
        <v>14.191276494269999</v>
      </c>
      <c r="F16" s="75">
        <v>14.971796701454849</v>
      </c>
      <c r="G16" s="76" t="e">
        <f>#N/A</f>
        <v>#N/A</v>
      </c>
      <c r="H16" s="91"/>
    </row>
    <row r="17" spans="1:8" x14ac:dyDescent="0.25">
      <c r="A17" s="84" t="s">
        <v>254</v>
      </c>
      <c r="B17" s="74" t="s">
        <v>255</v>
      </c>
      <c r="C17" s="83">
        <v>504.6750008132658</v>
      </c>
      <c r="D17" s="75">
        <v>517.48662098115392</v>
      </c>
      <c r="E17" s="75">
        <v>488.07101736088623</v>
      </c>
      <c r="F17" s="75">
        <v>482.21938377977926</v>
      </c>
      <c r="G17" s="76" t="e">
        <f>#N/A</f>
        <v>#N/A</v>
      </c>
    </row>
    <row r="18" spans="1:8" x14ac:dyDescent="0.25">
      <c r="A18" s="78"/>
      <c r="B18" s="79" t="s">
        <v>241</v>
      </c>
      <c r="C18" s="86"/>
      <c r="D18" s="87"/>
      <c r="E18" s="87"/>
      <c r="F18" s="87"/>
      <c r="G18" s="76" t="e">
        <f>#N/A</f>
        <v>#N/A</v>
      </c>
    </row>
    <row r="19" spans="1:8" x14ac:dyDescent="0.25">
      <c r="A19" s="78" t="s">
        <v>256</v>
      </c>
      <c r="B19" s="79" t="s">
        <v>257</v>
      </c>
      <c r="C19" s="86">
        <v>81.454113800000002</v>
      </c>
      <c r="D19" s="92">
        <v>84.549370124400014</v>
      </c>
      <c r="E19" s="92">
        <v>88.354091779998015</v>
      </c>
      <c r="F19" s="92">
        <v>93.213566827897893</v>
      </c>
      <c r="G19" s="76" t="e">
        <f>#N/A</f>
        <v>#N/A</v>
      </c>
    </row>
    <row r="20" spans="1:8" x14ac:dyDescent="0.25">
      <c r="A20" s="78" t="s">
        <v>258</v>
      </c>
      <c r="B20" s="79" t="s">
        <v>259</v>
      </c>
      <c r="C20" s="86">
        <v>83.031887504799997</v>
      </c>
      <c r="D20" s="92">
        <v>76.232030650702399</v>
      </c>
      <c r="E20" s="92">
        <v>55.973239839984004</v>
      </c>
      <c r="F20" s="92">
        <v>26.906259125183126</v>
      </c>
      <c r="G20" s="76" t="e">
        <f>#N/A</f>
        <v>#N/A</v>
      </c>
    </row>
    <row r="21" spans="1:8" ht="16.5" thickBot="1" x14ac:dyDescent="0.3">
      <c r="A21" s="93" t="s">
        <v>260</v>
      </c>
      <c r="B21" s="79" t="s">
        <v>261</v>
      </c>
      <c r="C21" s="86">
        <v>29.437230865959801</v>
      </c>
      <c r="D21" s="92">
        <v>31.14459025618547</v>
      </c>
      <c r="E21" s="92">
        <v>32.857542720275667</v>
      </c>
      <c r="F21" s="92">
        <v>34.66470756989083</v>
      </c>
      <c r="G21" s="76" t="e">
        <f>#N/A</f>
        <v>#N/A</v>
      </c>
    </row>
    <row r="22" spans="1:8" ht="16.5" thickBot="1" x14ac:dyDescent="0.3">
      <c r="A22" s="94" t="s">
        <v>262</v>
      </c>
      <c r="B22" s="74" t="s">
        <v>263</v>
      </c>
      <c r="C22" s="83">
        <v>-300.58235290418429</v>
      </c>
      <c r="D22" s="75">
        <v>-318.17188329325904</v>
      </c>
      <c r="E22" s="75">
        <v>-322.58846937033672</v>
      </c>
      <c r="F22" s="75">
        <v>-306.05858272967612</v>
      </c>
      <c r="G22" s="76" t="e">
        <f>#N/A</f>
        <v>#N/A</v>
      </c>
      <c r="H22" s="77"/>
    </row>
    <row r="23" spans="1:8" x14ac:dyDescent="0.25">
      <c r="A23" s="73" t="s">
        <v>264</v>
      </c>
      <c r="B23" s="74" t="s">
        <v>265</v>
      </c>
      <c r="C23" s="83">
        <v>253.47853612210002</v>
      </c>
      <c r="D23" s="75">
        <v>298.69440072895054</v>
      </c>
      <c r="E23" s="75">
        <v>343.39307794321775</v>
      </c>
      <c r="F23" s="75">
        <v>372.35159082009477</v>
      </c>
      <c r="G23" s="76" t="e">
        <f>#N/A</f>
        <v>#N/A</v>
      </c>
      <c r="H23" s="77"/>
    </row>
    <row r="24" spans="1:8" x14ac:dyDescent="0.25">
      <c r="A24" s="78" t="s">
        <v>73</v>
      </c>
      <c r="B24" s="79" t="s">
        <v>266</v>
      </c>
      <c r="C24" s="86">
        <v>547.27176001905093</v>
      </c>
      <c r="D24" s="87">
        <v>465.27259175792665</v>
      </c>
      <c r="E24" s="87">
        <v>514.8162623415493</v>
      </c>
      <c r="F24" s="87">
        <v>545.21251286033453</v>
      </c>
      <c r="G24" s="76" t="e">
        <f>#N/A</f>
        <v>#N/A</v>
      </c>
    </row>
    <row r="25" spans="1:8" x14ac:dyDescent="0.25">
      <c r="A25" s="78"/>
      <c r="B25" s="79" t="s">
        <v>267</v>
      </c>
      <c r="C25" s="86"/>
      <c r="D25" s="92"/>
      <c r="E25" s="92"/>
      <c r="F25" s="92"/>
      <c r="G25" s="76" t="e">
        <f>#N/A</f>
        <v>#N/A</v>
      </c>
    </row>
    <row r="26" spans="1:8" x14ac:dyDescent="0.25">
      <c r="A26" s="78" t="s">
        <v>242</v>
      </c>
      <c r="B26" s="79" t="s">
        <v>268</v>
      </c>
      <c r="C26" s="86">
        <v>0</v>
      </c>
      <c r="D26" s="92">
        <v>0</v>
      </c>
      <c r="E26" s="92">
        <v>0</v>
      </c>
      <c r="F26" s="92">
        <v>0</v>
      </c>
      <c r="G26" s="76" t="e">
        <f>#N/A</f>
        <v>#N/A</v>
      </c>
    </row>
    <row r="27" spans="1:8" x14ac:dyDescent="0.25">
      <c r="A27" s="78" t="s">
        <v>244</v>
      </c>
      <c r="B27" s="95" t="s">
        <v>269</v>
      </c>
      <c r="C27" s="96">
        <v>3.6487099999999999</v>
      </c>
      <c r="D27" s="97">
        <v>3.8603351799999999</v>
      </c>
      <c r="E27" s="97">
        <v>4.0726536149000001</v>
      </c>
      <c r="F27" s="97">
        <v>4.296649563719499</v>
      </c>
      <c r="G27" s="76" t="e">
        <f>#N/A</f>
        <v>#N/A</v>
      </c>
    </row>
    <row r="28" spans="1:8" x14ac:dyDescent="0.25">
      <c r="A28" s="78" t="s">
        <v>108</v>
      </c>
      <c r="B28" s="79" t="s">
        <v>270</v>
      </c>
      <c r="C28" s="86">
        <v>293.79322389695091</v>
      </c>
      <c r="D28" s="87">
        <v>166.57819102897611</v>
      </c>
      <c r="E28" s="87">
        <v>171.42318439833156</v>
      </c>
      <c r="F28" s="87">
        <v>172.86092204023979</v>
      </c>
      <c r="G28" s="76" t="e">
        <f>#N/A</f>
        <v>#N/A</v>
      </c>
      <c r="H28" s="98"/>
    </row>
    <row r="29" spans="1:8" x14ac:dyDescent="0.25">
      <c r="A29" s="78"/>
      <c r="B29" s="79" t="s">
        <v>267</v>
      </c>
      <c r="C29" s="86"/>
      <c r="D29" s="87"/>
      <c r="E29" s="87"/>
      <c r="F29" s="87"/>
      <c r="G29" s="76" t="e">
        <f>#N/A</f>
        <v>#N/A</v>
      </c>
    </row>
    <row r="30" spans="1:8" ht="16.5" thickBot="1" x14ac:dyDescent="0.3">
      <c r="A30" s="93" t="s">
        <v>271</v>
      </c>
      <c r="B30" s="79" t="s">
        <v>272</v>
      </c>
      <c r="C30" s="86">
        <v>31.952114379999998</v>
      </c>
      <c r="D30" s="87">
        <v>24.37875</v>
      </c>
      <c r="E30" s="87">
        <v>21.532499999999999</v>
      </c>
      <c r="F30" s="87">
        <v>14.72625</v>
      </c>
      <c r="G30" s="76" t="e">
        <f>#N/A</f>
        <v>#N/A</v>
      </c>
    </row>
    <row r="31" spans="1:8" ht="16.5" thickBot="1" x14ac:dyDescent="0.3">
      <c r="A31" s="99" t="s">
        <v>273</v>
      </c>
      <c r="B31" s="74" t="s">
        <v>274</v>
      </c>
      <c r="C31" s="83">
        <v>-1.2522714238188826</v>
      </c>
      <c r="D31" s="75">
        <v>29.057211497375079</v>
      </c>
      <c r="E31" s="75">
        <v>70.01301915479678</v>
      </c>
      <c r="F31" s="75">
        <v>112.9799105407082</v>
      </c>
      <c r="G31" s="76" t="e">
        <f>#N/A</f>
        <v>#N/A</v>
      </c>
      <c r="H31" s="77"/>
    </row>
    <row r="32" spans="1:8" ht="16.5" thickBot="1" x14ac:dyDescent="0.3">
      <c r="A32" s="99" t="s">
        <v>275</v>
      </c>
      <c r="B32" s="74" t="s">
        <v>276</v>
      </c>
      <c r="C32" s="83">
        <v>0</v>
      </c>
      <c r="D32" s="75">
        <v>5.8114422994750159</v>
      </c>
      <c r="E32" s="75">
        <v>14.002603830959357</v>
      </c>
      <c r="F32" s="75">
        <v>22.595982108141641</v>
      </c>
      <c r="G32" s="76" t="e">
        <f>#N/A</f>
        <v>#N/A</v>
      </c>
    </row>
    <row r="33" spans="1:8" ht="16.5" thickBot="1" x14ac:dyDescent="0.3">
      <c r="A33" s="99" t="s">
        <v>277</v>
      </c>
      <c r="B33" s="74" t="s">
        <v>278</v>
      </c>
      <c r="C33" s="83">
        <v>-1.2522714238188826</v>
      </c>
      <c r="D33" s="90">
        <v>23.245769197900064</v>
      </c>
      <c r="E33" s="90">
        <v>56.010415323837421</v>
      </c>
      <c r="F33" s="90">
        <v>90.383928432566563</v>
      </c>
      <c r="G33" s="76" t="e">
        <f>#N/A</f>
        <v>#N/A</v>
      </c>
      <c r="H33" s="77"/>
    </row>
    <row r="34" spans="1:8" x14ac:dyDescent="0.25">
      <c r="A34" s="73" t="s">
        <v>279</v>
      </c>
      <c r="B34" s="74" t="s">
        <v>11</v>
      </c>
      <c r="C34" s="83">
        <v>0</v>
      </c>
      <c r="D34" s="75">
        <v>0</v>
      </c>
      <c r="E34" s="75">
        <v>0.23245779800536015</v>
      </c>
      <c r="F34" s="75">
        <v>0.56010435361397781</v>
      </c>
      <c r="G34" s="76" t="e">
        <f>#N/A</f>
        <v>#N/A</v>
      </c>
    </row>
    <row r="35" spans="1:8" x14ac:dyDescent="0.25">
      <c r="A35" s="78"/>
      <c r="B35" s="79" t="s">
        <v>241</v>
      </c>
      <c r="C35" s="86"/>
      <c r="D35" s="87"/>
      <c r="E35" s="87"/>
      <c r="F35" s="87"/>
      <c r="G35" s="76" t="e">
        <f>#N/A</f>
        <v>#N/A</v>
      </c>
    </row>
    <row r="36" spans="1:8" x14ac:dyDescent="0.25">
      <c r="A36" s="78" t="s">
        <v>73</v>
      </c>
      <c r="B36" s="79" t="s">
        <v>12</v>
      </c>
      <c r="C36" s="86">
        <v>0</v>
      </c>
      <c r="D36" s="92">
        <v>0</v>
      </c>
      <c r="E36" s="92">
        <v>0</v>
      </c>
      <c r="F36" s="92">
        <v>0</v>
      </c>
      <c r="G36" s="76" t="e">
        <f>#N/A</f>
        <v>#N/A</v>
      </c>
    </row>
    <row r="37" spans="1:8" x14ac:dyDescent="0.25">
      <c r="A37" s="100" t="s">
        <v>108</v>
      </c>
      <c r="B37" s="79" t="s">
        <v>13</v>
      </c>
      <c r="C37" s="86">
        <v>0</v>
      </c>
      <c r="D37" s="101">
        <v>0</v>
      </c>
      <c r="E37" s="101">
        <v>0</v>
      </c>
      <c r="F37" s="102">
        <v>0</v>
      </c>
      <c r="G37" s="76" t="e">
        <f>#N/A</f>
        <v>#N/A</v>
      </c>
    </row>
    <row r="38" spans="1:8" x14ac:dyDescent="0.25">
      <c r="A38" s="78" t="s">
        <v>179</v>
      </c>
      <c r="B38" s="79" t="s">
        <v>14</v>
      </c>
      <c r="C38" s="86">
        <v>0</v>
      </c>
      <c r="D38" s="101">
        <v>0</v>
      </c>
      <c r="E38" s="101">
        <v>0.23245779800536015</v>
      </c>
      <c r="F38" s="101">
        <v>0.56010435361397781</v>
      </c>
      <c r="G38" s="76" t="e">
        <f>#N/A</f>
        <v>#N/A</v>
      </c>
    </row>
    <row r="39" spans="1:8" ht="16.5" thickBot="1" x14ac:dyDescent="0.3">
      <c r="A39" s="93" t="s">
        <v>252</v>
      </c>
      <c r="B39" s="79" t="s">
        <v>15</v>
      </c>
      <c r="C39" s="86">
        <v>0</v>
      </c>
      <c r="D39" s="75">
        <v>0</v>
      </c>
      <c r="E39" s="75">
        <v>0</v>
      </c>
      <c r="F39" s="75">
        <v>0</v>
      </c>
      <c r="G39" s="76" t="e">
        <f>#N/A</f>
        <v>#N/A</v>
      </c>
    </row>
    <row r="40" spans="1:8" x14ac:dyDescent="0.25">
      <c r="A40" s="73" t="s">
        <v>280</v>
      </c>
      <c r="B40" s="74" t="s">
        <v>281</v>
      </c>
      <c r="C40" s="83">
        <v>43.176324883527315</v>
      </c>
      <c r="D40" s="103">
        <v>24.924869178344437</v>
      </c>
      <c r="E40" s="75">
        <v>20.955812869012362</v>
      </c>
      <c r="F40" s="75">
        <v>49.264765241833743</v>
      </c>
      <c r="G40" s="76" t="e">
        <f>#N/A</f>
        <v>#N/A</v>
      </c>
    </row>
    <row r="41" spans="1:8" s="106" customFormat="1" x14ac:dyDescent="0.25">
      <c r="A41" s="78" t="s">
        <v>73</v>
      </c>
      <c r="B41" s="104" t="s">
        <v>282</v>
      </c>
      <c r="C41" s="105">
        <v>43.176324883527315</v>
      </c>
      <c r="D41" s="87">
        <v>0</v>
      </c>
      <c r="E41" s="97">
        <v>20.955812869012362</v>
      </c>
      <c r="F41" s="97">
        <v>49.264765241833743</v>
      </c>
      <c r="G41" s="76" t="e">
        <f>#N/A</f>
        <v>#N/A</v>
      </c>
    </row>
    <row r="42" spans="1:8" s="106" customFormat="1" x14ac:dyDescent="0.25">
      <c r="A42" s="78" t="s">
        <v>108</v>
      </c>
      <c r="B42" s="79" t="s">
        <v>283</v>
      </c>
      <c r="C42" s="86">
        <v>0</v>
      </c>
      <c r="D42" s="107">
        <v>24.924869178344437</v>
      </c>
      <c r="E42" s="87">
        <v>0</v>
      </c>
      <c r="F42" s="87">
        <v>0</v>
      </c>
      <c r="G42" s="76" t="e">
        <f>#N/A</f>
        <v>#N/A</v>
      </c>
    </row>
    <row r="43" spans="1:8" s="106" customFormat="1" ht="16.5" thickBot="1" x14ac:dyDescent="0.3">
      <c r="A43" s="93"/>
      <c r="B43" s="79" t="s">
        <v>284</v>
      </c>
      <c r="C43" s="86" t="s">
        <v>285</v>
      </c>
      <c r="D43" s="108" t="s">
        <v>286</v>
      </c>
      <c r="E43" s="108" t="s">
        <v>285</v>
      </c>
      <c r="F43" s="108" t="s">
        <v>285</v>
      </c>
      <c r="G43" s="76" t="e">
        <f>#N/A</f>
        <v>#N/A</v>
      </c>
    </row>
    <row r="44" spans="1:8" x14ac:dyDescent="0.25">
      <c r="A44" s="73" t="s">
        <v>287</v>
      </c>
      <c r="B44" s="74" t="s">
        <v>288</v>
      </c>
      <c r="C44" s="83">
        <v>203.16637649711416</v>
      </c>
      <c r="D44" s="75">
        <v>120.19931504986602</v>
      </c>
      <c r="E44" s="75">
        <v>105.97725115965055</v>
      </c>
      <c r="F44" s="75">
        <v>82.92307999999997</v>
      </c>
      <c r="G44" s="76" t="e">
        <f>#N/A</f>
        <v>#N/A</v>
      </c>
    </row>
    <row r="45" spans="1:8" s="106" customFormat="1" x14ac:dyDescent="0.25">
      <c r="A45" s="78" t="s">
        <v>73</v>
      </c>
      <c r="B45" s="104" t="s">
        <v>289</v>
      </c>
      <c r="C45" s="105">
        <v>203.16637649711416</v>
      </c>
      <c r="D45" s="87">
        <v>0</v>
      </c>
      <c r="E45" s="97">
        <v>0</v>
      </c>
      <c r="F45" s="97">
        <v>0</v>
      </c>
      <c r="G45" s="76" t="e">
        <f>#N/A</f>
        <v>#N/A</v>
      </c>
    </row>
    <row r="46" spans="1:8" s="106" customFormat="1" x14ac:dyDescent="0.25">
      <c r="A46" s="78" t="s">
        <v>108</v>
      </c>
      <c r="B46" s="79" t="s">
        <v>290</v>
      </c>
      <c r="C46" s="86">
        <v>0</v>
      </c>
      <c r="D46" s="109">
        <v>120.19931504986602</v>
      </c>
      <c r="E46" s="109">
        <v>105.97725115965055</v>
      </c>
      <c r="F46" s="87">
        <v>82.92307999999997</v>
      </c>
      <c r="G46" s="76" t="e">
        <f>#N/A</f>
        <v>#N/A</v>
      </c>
    </row>
    <row r="47" spans="1:8" s="106" customFormat="1" ht="16.5" thickBot="1" x14ac:dyDescent="0.3">
      <c r="A47" s="93"/>
      <c r="B47" s="79" t="s">
        <v>284</v>
      </c>
      <c r="C47" s="86" t="s">
        <v>285</v>
      </c>
      <c r="D47" s="108" t="s">
        <v>286</v>
      </c>
      <c r="E47" s="110" t="s">
        <v>286</v>
      </c>
      <c r="F47" s="108" t="s">
        <v>286</v>
      </c>
      <c r="G47" s="76" t="e">
        <f>#N/A</f>
        <v>#N/A</v>
      </c>
    </row>
    <row r="48" spans="1:8" x14ac:dyDescent="0.25">
      <c r="A48" s="73" t="s">
        <v>291</v>
      </c>
      <c r="B48" s="74" t="s">
        <v>292</v>
      </c>
      <c r="C48" s="83">
        <v>62</v>
      </c>
      <c r="D48" s="75">
        <v>0</v>
      </c>
      <c r="E48" s="75">
        <v>0</v>
      </c>
      <c r="F48" s="75">
        <v>0</v>
      </c>
      <c r="G48" s="76" t="e">
        <f>#N/A</f>
        <v>#N/A</v>
      </c>
    </row>
    <row r="49" spans="1:7" x14ac:dyDescent="0.25">
      <c r="A49" s="84"/>
      <c r="B49" s="79" t="s">
        <v>293</v>
      </c>
      <c r="C49" s="86"/>
      <c r="D49" s="87"/>
      <c r="E49" s="87"/>
      <c r="F49" s="87"/>
      <c r="G49" s="76" t="e">
        <f>#N/A</f>
        <v>#N/A</v>
      </c>
    </row>
    <row r="50" spans="1:7" x14ac:dyDescent="0.25">
      <c r="A50" s="78" t="s">
        <v>73</v>
      </c>
      <c r="B50" s="79" t="s">
        <v>294</v>
      </c>
      <c r="C50" s="86">
        <v>62</v>
      </c>
      <c r="D50" s="92">
        <v>0</v>
      </c>
      <c r="E50" s="92">
        <v>0</v>
      </c>
      <c r="F50" s="92">
        <v>0</v>
      </c>
      <c r="G50" s="76" t="e">
        <f>#N/A</f>
        <v>#N/A</v>
      </c>
    </row>
    <row r="51" spans="1:7" x14ac:dyDescent="0.25">
      <c r="A51" s="78" t="s">
        <v>242</v>
      </c>
      <c r="B51" s="79" t="s">
        <v>295</v>
      </c>
      <c r="C51" s="86"/>
      <c r="D51" s="111"/>
      <c r="E51" s="111"/>
      <c r="F51" s="111"/>
      <c r="G51" s="76" t="e">
        <f>#N/A</f>
        <v>#N/A</v>
      </c>
    </row>
    <row r="52" spans="1:7" ht="16.5" thickBot="1" x14ac:dyDescent="0.3">
      <c r="A52" s="78" t="s">
        <v>108</v>
      </c>
      <c r="B52" s="79" t="s">
        <v>296</v>
      </c>
      <c r="C52" s="86">
        <v>0</v>
      </c>
      <c r="D52" s="108">
        <v>0</v>
      </c>
      <c r="E52" s="108">
        <v>0</v>
      </c>
      <c r="F52" s="108">
        <v>0</v>
      </c>
      <c r="G52" s="76" t="e">
        <f>#N/A</f>
        <v>#N/A</v>
      </c>
    </row>
    <row r="53" spans="1:7" x14ac:dyDescent="0.25">
      <c r="A53" s="73" t="s">
        <v>297</v>
      </c>
      <c r="B53" s="74" t="s">
        <v>298</v>
      </c>
      <c r="C53" s="83">
        <v>90</v>
      </c>
      <c r="D53" s="90">
        <v>23</v>
      </c>
      <c r="E53" s="90">
        <v>55</v>
      </c>
      <c r="F53" s="90">
        <v>119</v>
      </c>
      <c r="G53" s="76" t="e">
        <f>#N/A</f>
        <v>#N/A</v>
      </c>
    </row>
    <row r="54" spans="1:7" x14ac:dyDescent="0.25">
      <c r="A54" s="84"/>
      <c r="B54" s="79" t="s">
        <v>299</v>
      </c>
      <c r="C54" s="86"/>
      <c r="D54" s="87"/>
      <c r="E54" s="87"/>
      <c r="F54" s="87"/>
      <c r="G54" s="76" t="e">
        <f>#N/A</f>
        <v>#N/A</v>
      </c>
    </row>
    <row r="55" spans="1:7" x14ac:dyDescent="0.25">
      <c r="A55" s="78" t="s">
        <v>73</v>
      </c>
      <c r="B55" s="79" t="s">
        <v>300</v>
      </c>
      <c r="C55" s="86">
        <v>90</v>
      </c>
      <c r="D55" s="111">
        <v>23</v>
      </c>
      <c r="E55" s="111">
        <v>55</v>
      </c>
      <c r="F55" s="111">
        <v>119</v>
      </c>
      <c r="G55" s="76" t="e">
        <f>#N/A</f>
        <v>#N/A</v>
      </c>
    </row>
    <row r="56" spans="1:7" x14ac:dyDescent="0.25">
      <c r="A56" s="78" t="s">
        <v>242</v>
      </c>
      <c r="B56" s="79" t="s">
        <v>295</v>
      </c>
      <c r="C56" s="86"/>
      <c r="D56" s="111"/>
      <c r="E56" s="111"/>
      <c r="F56" s="111"/>
      <c r="G56" s="76" t="e">
        <f>#N/A</f>
        <v>#N/A</v>
      </c>
    </row>
    <row r="57" spans="1:7" x14ac:dyDescent="0.25">
      <c r="A57" s="78" t="s">
        <v>108</v>
      </c>
      <c r="B57" s="79" t="s">
        <v>296</v>
      </c>
      <c r="C57" s="86">
        <v>0</v>
      </c>
      <c r="D57" s="87">
        <v>0</v>
      </c>
      <c r="E57" s="87">
        <v>0</v>
      </c>
      <c r="F57" s="87">
        <v>0</v>
      </c>
      <c r="G57" s="76" t="e">
        <f>#N/A</f>
        <v>#N/A</v>
      </c>
    </row>
    <row r="58" spans="1:7" ht="16.5" thickBot="1" x14ac:dyDescent="0.3">
      <c r="A58" s="112" t="s">
        <v>301</v>
      </c>
      <c r="B58" s="74" t="s">
        <v>302</v>
      </c>
      <c r="C58" s="83">
        <v>38.635462092203369</v>
      </c>
      <c r="D58" s="87">
        <v>43.956610169491512</v>
      </c>
      <c r="E58" s="87">
        <v>36.502779661016945</v>
      </c>
      <c r="F58" s="87">
        <v>21.212847457627106</v>
      </c>
      <c r="G58" s="76" t="e">
        <f>#N/A</f>
        <v>#N/A</v>
      </c>
    </row>
    <row r="59" spans="1:7" x14ac:dyDescent="0.25">
      <c r="A59" s="73" t="s">
        <v>303</v>
      </c>
      <c r="B59" s="74" t="s">
        <v>304</v>
      </c>
      <c r="C59" s="83">
        <v>152.97232080000001</v>
      </c>
      <c r="D59" s="111">
        <v>0</v>
      </c>
      <c r="E59" s="111">
        <v>0</v>
      </c>
      <c r="F59" s="111">
        <v>0</v>
      </c>
      <c r="G59" s="76" t="e">
        <f>#N/A</f>
        <v>#N/A</v>
      </c>
    </row>
    <row r="60" spans="1:7" x14ac:dyDescent="0.25">
      <c r="A60" s="78" t="s">
        <v>73</v>
      </c>
      <c r="B60" s="79" t="s">
        <v>305</v>
      </c>
      <c r="C60" s="86">
        <v>0</v>
      </c>
      <c r="D60" s="87">
        <v>0</v>
      </c>
      <c r="E60" s="87">
        <v>0</v>
      </c>
      <c r="F60" s="87">
        <v>0</v>
      </c>
      <c r="G60" s="76" t="e">
        <f>#N/A</f>
        <v>#N/A</v>
      </c>
    </row>
    <row r="61" spans="1:7" ht="16.5" thickBot="1" x14ac:dyDescent="0.3">
      <c r="A61" s="93" t="s">
        <v>108</v>
      </c>
      <c r="B61" s="79" t="s">
        <v>306</v>
      </c>
      <c r="C61" s="86">
        <v>152.97232080000001</v>
      </c>
      <c r="D61" s="87">
        <v>0</v>
      </c>
      <c r="E61" s="87">
        <v>0</v>
      </c>
      <c r="F61" s="87">
        <v>0</v>
      </c>
      <c r="G61" s="76" t="e">
        <f>#N/A</f>
        <v>#N/A</v>
      </c>
    </row>
    <row r="62" spans="1:7" ht="16.5" thickBot="1" x14ac:dyDescent="0.3">
      <c r="A62" s="99" t="s">
        <v>307</v>
      </c>
      <c r="B62" s="74" t="s">
        <v>308</v>
      </c>
      <c r="C62" s="83">
        <v>0</v>
      </c>
      <c r="D62" s="92">
        <v>0</v>
      </c>
      <c r="E62" s="92">
        <v>0</v>
      </c>
      <c r="F62" s="92">
        <v>0</v>
      </c>
      <c r="G62" s="76" t="e">
        <f>#N/A</f>
        <v>#N/A</v>
      </c>
    </row>
    <row r="63" spans="1:7" x14ac:dyDescent="0.25">
      <c r="A63" s="82" t="s">
        <v>309</v>
      </c>
      <c r="B63" s="74" t="s">
        <v>310</v>
      </c>
      <c r="C63" s="83">
        <v>253.27691816000001</v>
      </c>
      <c r="D63" s="75">
        <v>288.16000000000003</v>
      </c>
      <c r="E63" s="75">
        <v>239.29599999999999</v>
      </c>
      <c r="F63" s="75">
        <v>139.06199999999998</v>
      </c>
      <c r="G63" s="76" t="e">
        <f>#N/A</f>
        <v>#N/A</v>
      </c>
    </row>
    <row r="64" spans="1:7" ht="16.5" thickBot="1" x14ac:dyDescent="0.3">
      <c r="A64" s="113"/>
      <c r="B64" s="79" t="s">
        <v>295</v>
      </c>
      <c r="C64" s="86"/>
      <c r="D64" s="111"/>
      <c r="E64" s="111"/>
      <c r="F64" s="111"/>
      <c r="G64" s="76" t="e">
        <f>#N/A</f>
        <v>#N/A</v>
      </c>
    </row>
    <row r="65" spans="1:8" ht="32.25" thickBot="1" x14ac:dyDescent="0.3">
      <c r="A65" s="99" t="s">
        <v>309</v>
      </c>
      <c r="B65" s="74" t="s">
        <v>311</v>
      </c>
      <c r="C65" s="83">
        <v>2475.4546985041843</v>
      </c>
      <c r="D65" s="87">
        <v>2107.535993812503</v>
      </c>
      <c r="E65" s="87">
        <v>2137.0782566322296</v>
      </c>
      <c r="F65" s="87">
        <v>2216.0185375882852</v>
      </c>
      <c r="G65" s="76" t="e">
        <f>#N/A</f>
        <v>#N/A</v>
      </c>
    </row>
    <row r="66" spans="1:8" ht="47.25" x14ac:dyDescent="0.25">
      <c r="A66" s="73" t="s">
        <v>312</v>
      </c>
      <c r="B66" s="74" t="s">
        <v>313</v>
      </c>
      <c r="C66" s="83">
        <v>2270.1496867404785</v>
      </c>
      <c r="D66" s="87">
        <v>2246.858664417317</v>
      </c>
      <c r="E66" s="87">
        <v>2266.136442051959</v>
      </c>
      <c r="F66" s="87">
        <v>2294.4072871266289</v>
      </c>
      <c r="G66" s="76" t="e">
        <f>#N/A</f>
        <v>#N/A</v>
      </c>
    </row>
    <row r="67" spans="1:8" ht="32.25" thickBot="1" x14ac:dyDescent="0.3">
      <c r="A67" s="114"/>
      <c r="B67" s="74" t="s">
        <v>314</v>
      </c>
      <c r="C67" s="83">
        <v>205.30501176370581</v>
      </c>
      <c r="D67" s="75">
        <v>-139.32267060481399</v>
      </c>
      <c r="E67" s="75">
        <v>-129.0581854197294</v>
      </c>
      <c r="F67" s="75">
        <v>-78.388749538343745</v>
      </c>
      <c r="G67" s="76" t="e">
        <f>#N/A</f>
        <v>#N/A</v>
      </c>
    </row>
    <row r="68" spans="1:8" x14ac:dyDescent="0.25">
      <c r="A68" s="115"/>
      <c r="B68" s="74" t="s">
        <v>4</v>
      </c>
      <c r="C68" s="83"/>
      <c r="D68" s="87"/>
      <c r="E68" s="87"/>
      <c r="F68" s="87"/>
      <c r="G68" s="76"/>
    </row>
    <row r="69" spans="1:8" x14ac:dyDescent="0.25">
      <c r="A69" s="78" t="s">
        <v>73</v>
      </c>
      <c r="B69" s="79" t="s">
        <v>5</v>
      </c>
      <c r="C69" s="86">
        <v>181.36294324646462</v>
      </c>
      <c r="D69" s="108">
        <v>260.12147852067005</v>
      </c>
      <c r="E69" s="108">
        <v>298.57335838684719</v>
      </c>
      <c r="F69" s="108">
        <v>333.16489628901678</v>
      </c>
      <c r="G69" s="76" t="e">
        <f>#N/A</f>
        <v>#N/A</v>
      </c>
    </row>
    <row r="70" spans="1:8" x14ac:dyDescent="0.25">
      <c r="A70" s="78" t="s">
        <v>108</v>
      </c>
      <c r="B70" s="116" t="s">
        <v>315</v>
      </c>
      <c r="C70" s="86">
        <v>197</v>
      </c>
      <c r="D70" s="117">
        <v>174</v>
      </c>
      <c r="E70" s="117">
        <v>119</v>
      </c>
      <c r="F70" s="117">
        <v>0</v>
      </c>
      <c r="G70" s="76" t="e">
        <f>#N/A</f>
        <v>#N/A</v>
      </c>
      <c r="H70" s="65" t="s">
        <v>316</v>
      </c>
    </row>
    <row r="71" spans="1:8" x14ac:dyDescent="0.25">
      <c r="A71" s="78" t="s">
        <v>179</v>
      </c>
      <c r="B71" s="79" t="s">
        <v>317</v>
      </c>
      <c r="C71" s="86">
        <v>4.2443967557702162</v>
      </c>
      <c r="D71" s="117">
        <v>4.5754223593202221</v>
      </c>
      <c r="E71" s="117">
        <v>4.7765990853910258</v>
      </c>
      <c r="F71" s="117">
        <v>4.9702263563689248</v>
      </c>
      <c r="G71" s="76">
        <f>SUM(C71:F71)</f>
        <v>18.566644556850392</v>
      </c>
    </row>
    <row r="72" spans="1:8" ht="15" x14ac:dyDescent="0.25">
      <c r="A72" s="395" t="s">
        <v>318</v>
      </c>
      <c r="B72" s="395"/>
      <c r="C72" s="395"/>
      <c r="D72" s="395"/>
      <c r="E72" s="395"/>
      <c r="F72" s="395"/>
      <c r="G72" s="395"/>
    </row>
    <row r="73" spans="1:8" ht="15" x14ac:dyDescent="0.25">
      <c r="A73" s="395"/>
      <c r="B73" s="395"/>
      <c r="C73" s="395"/>
      <c r="D73" s="395"/>
      <c r="E73" s="395"/>
      <c r="F73" s="395"/>
      <c r="G73" s="395"/>
    </row>
    <row r="74" spans="1:8" x14ac:dyDescent="0.25">
      <c r="A74" s="118" t="s">
        <v>319</v>
      </c>
      <c r="B74" s="118" t="s">
        <v>194</v>
      </c>
      <c r="C74" s="118" t="s">
        <v>320</v>
      </c>
      <c r="D74" s="118" t="s">
        <v>321</v>
      </c>
      <c r="E74" s="118" t="s">
        <v>322</v>
      </c>
      <c r="F74" s="118" t="s">
        <v>323</v>
      </c>
      <c r="G74" s="118" t="s">
        <v>195</v>
      </c>
    </row>
    <row r="75" spans="1:8" x14ac:dyDescent="0.25">
      <c r="A75" s="119"/>
      <c r="B75" s="119" t="s">
        <v>196</v>
      </c>
      <c r="C75" s="120">
        <v>253.26511815999999</v>
      </c>
      <c r="D75" s="121">
        <v>288.16065399999997</v>
      </c>
      <c r="E75" s="121">
        <v>239.29588227000048</v>
      </c>
      <c r="F75" s="121">
        <v>139.05988881472979</v>
      </c>
      <c r="G75" s="120">
        <f>SUM(C75:F75)</f>
        <v>919.78154324473019</v>
      </c>
    </row>
    <row r="76" spans="1:8" x14ac:dyDescent="0.25">
      <c r="A76" s="122" t="s">
        <v>20</v>
      </c>
      <c r="B76" s="123" t="s">
        <v>197</v>
      </c>
      <c r="C76" s="124">
        <v>191.26511815999999</v>
      </c>
      <c r="D76" s="125">
        <v>288.16065399999997</v>
      </c>
      <c r="E76" s="125">
        <v>239.29588227000048</v>
      </c>
      <c r="F76" s="125">
        <v>139.05988881472979</v>
      </c>
      <c r="G76" s="120" t="e">
        <f>#N/A</f>
        <v>#N/A</v>
      </c>
    </row>
    <row r="77" spans="1:8" x14ac:dyDescent="0.25">
      <c r="A77" s="122" t="s">
        <v>17</v>
      </c>
      <c r="B77" s="123" t="s">
        <v>198</v>
      </c>
      <c r="C77" s="124">
        <v>1.6988399999999999</v>
      </c>
      <c r="D77" s="126">
        <v>0</v>
      </c>
      <c r="E77" s="126">
        <v>0</v>
      </c>
      <c r="F77" s="126">
        <v>0</v>
      </c>
      <c r="G77" s="120" t="e">
        <f>#N/A</f>
        <v>#N/A</v>
      </c>
    </row>
    <row r="78" spans="1:8" ht="31.5" x14ac:dyDescent="0.25">
      <c r="A78" s="122" t="s">
        <v>199</v>
      </c>
      <c r="B78" s="127" t="s">
        <v>200</v>
      </c>
      <c r="C78" s="128"/>
      <c r="D78" s="126"/>
      <c r="E78" s="126"/>
      <c r="F78" s="126"/>
      <c r="G78" s="120" t="e">
        <f>#N/A</f>
        <v>#N/A</v>
      </c>
    </row>
    <row r="79" spans="1:8" x14ac:dyDescent="0.25">
      <c r="A79" s="122" t="s">
        <v>201</v>
      </c>
      <c r="B79" s="123" t="s">
        <v>202</v>
      </c>
      <c r="C79" s="124"/>
      <c r="D79" s="126">
        <v>0</v>
      </c>
      <c r="E79" s="126">
        <v>0</v>
      </c>
      <c r="F79" s="126">
        <v>0</v>
      </c>
      <c r="G79" s="120" t="e">
        <f>#N/A</f>
        <v>#N/A</v>
      </c>
    </row>
    <row r="80" spans="1:8" x14ac:dyDescent="0.25">
      <c r="A80" s="122" t="s">
        <v>203</v>
      </c>
      <c r="B80" s="127" t="s">
        <v>204</v>
      </c>
      <c r="C80" s="128">
        <v>1.6988399999999999</v>
      </c>
      <c r="D80" s="126">
        <v>0</v>
      </c>
      <c r="E80" s="126">
        <v>0</v>
      </c>
      <c r="F80" s="126">
        <v>0</v>
      </c>
      <c r="G80" s="120" t="e">
        <f>#N/A</f>
        <v>#N/A</v>
      </c>
    </row>
    <row r="81" spans="1:7" x14ac:dyDescent="0.25">
      <c r="A81" s="122" t="s">
        <v>205</v>
      </c>
      <c r="B81" s="123" t="s">
        <v>206</v>
      </c>
      <c r="C81" s="124"/>
      <c r="D81" s="126">
        <v>0</v>
      </c>
      <c r="E81" s="126">
        <v>0</v>
      </c>
      <c r="F81" s="126">
        <v>0</v>
      </c>
      <c r="G81" s="120" t="e">
        <f>#N/A</f>
        <v>#N/A</v>
      </c>
    </row>
    <row r="82" spans="1:7" x14ac:dyDescent="0.25">
      <c r="A82" s="122"/>
      <c r="B82" s="129" t="s">
        <v>207</v>
      </c>
      <c r="C82" s="130"/>
      <c r="D82" s="126">
        <v>0</v>
      </c>
      <c r="E82" s="126">
        <v>0</v>
      </c>
      <c r="F82" s="126">
        <v>0</v>
      </c>
      <c r="G82" s="120" t="e">
        <f>#N/A</f>
        <v>#N/A</v>
      </c>
    </row>
    <row r="83" spans="1:7" x14ac:dyDescent="0.25">
      <c r="A83" s="122" t="s">
        <v>208</v>
      </c>
      <c r="B83" s="123" t="s">
        <v>209</v>
      </c>
      <c r="C83" s="124">
        <v>1.6988399999999999</v>
      </c>
      <c r="D83" s="126">
        <v>0</v>
      </c>
      <c r="E83" s="126">
        <v>0</v>
      </c>
      <c r="F83" s="126">
        <v>0</v>
      </c>
      <c r="G83" s="120" t="e">
        <f>#N/A</f>
        <v>#N/A</v>
      </c>
    </row>
    <row r="84" spans="1:7" x14ac:dyDescent="0.25">
      <c r="A84" s="122"/>
      <c r="B84" s="129" t="s">
        <v>207</v>
      </c>
      <c r="C84" s="131"/>
      <c r="D84" s="126">
        <v>0</v>
      </c>
      <c r="E84" s="126">
        <v>0</v>
      </c>
      <c r="F84" s="126">
        <v>0</v>
      </c>
      <c r="G84" s="120" t="e">
        <f>#N/A</f>
        <v>#N/A</v>
      </c>
    </row>
    <row r="85" spans="1:7" x14ac:dyDescent="0.25">
      <c r="A85" s="122" t="s">
        <v>210</v>
      </c>
      <c r="B85" s="123" t="s">
        <v>211</v>
      </c>
      <c r="C85" s="124"/>
      <c r="D85" s="126">
        <v>0</v>
      </c>
      <c r="E85" s="126">
        <v>0</v>
      </c>
      <c r="F85" s="126">
        <v>0</v>
      </c>
      <c r="G85" s="120" t="e">
        <f>#N/A</f>
        <v>#N/A</v>
      </c>
    </row>
    <row r="86" spans="1:7" x14ac:dyDescent="0.25">
      <c r="A86" s="122" t="s">
        <v>18</v>
      </c>
      <c r="B86" s="123" t="s">
        <v>212</v>
      </c>
      <c r="C86" s="130">
        <v>146.50517983050847</v>
      </c>
      <c r="D86" s="126">
        <v>210.55183895000002</v>
      </c>
      <c r="E86" s="126">
        <v>202.79312056779702</v>
      </c>
      <c r="F86" s="126">
        <v>117.84736340231338</v>
      </c>
      <c r="G86" s="120" t="e">
        <f>#N/A</f>
        <v>#N/A</v>
      </c>
    </row>
    <row r="87" spans="1:7" ht="31.5" x14ac:dyDescent="0.25">
      <c r="A87" s="122" t="s">
        <v>213</v>
      </c>
      <c r="B87" s="127" t="s">
        <v>324</v>
      </c>
      <c r="C87" s="128"/>
      <c r="D87" s="126">
        <v>0</v>
      </c>
      <c r="E87" s="126">
        <v>0</v>
      </c>
      <c r="F87" s="126">
        <v>0</v>
      </c>
      <c r="G87" s="120" t="e">
        <f>#N/A</f>
        <v>#N/A</v>
      </c>
    </row>
    <row r="88" spans="1:7" x14ac:dyDescent="0.25">
      <c r="A88" s="122" t="s">
        <v>214</v>
      </c>
      <c r="B88" s="123" t="s">
        <v>215</v>
      </c>
      <c r="C88" s="124">
        <v>146.50517983050847</v>
      </c>
      <c r="D88" s="126">
        <v>210.55183895000002</v>
      </c>
      <c r="E88" s="126">
        <v>202.79312056779702</v>
      </c>
      <c r="F88" s="126">
        <v>117.84736340231338</v>
      </c>
      <c r="G88" s="120" t="e">
        <f>#N/A</f>
        <v>#N/A</v>
      </c>
    </row>
    <row r="89" spans="1:7" x14ac:dyDescent="0.25">
      <c r="A89" s="122" t="s">
        <v>216</v>
      </c>
      <c r="B89" s="123" t="s">
        <v>217</v>
      </c>
      <c r="C89" s="131"/>
      <c r="D89" s="126">
        <v>0</v>
      </c>
      <c r="E89" s="126">
        <v>0</v>
      </c>
      <c r="F89" s="126">
        <v>0</v>
      </c>
      <c r="G89" s="120" t="e">
        <f>#N/A</f>
        <v>#N/A</v>
      </c>
    </row>
    <row r="90" spans="1:7" x14ac:dyDescent="0.25">
      <c r="A90" s="122" t="s">
        <v>21</v>
      </c>
      <c r="B90" s="123" t="s">
        <v>218</v>
      </c>
      <c r="C90" s="124">
        <v>29.176034973559322</v>
      </c>
      <c r="D90" s="125">
        <v>43.956709932203388</v>
      </c>
      <c r="E90" s="125">
        <v>36.502761702203465</v>
      </c>
      <c r="F90" s="125">
        <v>21.212525412416408</v>
      </c>
      <c r="G90" s="120" t="e">
        <f>#N/A</f>
        <v>#N/A</v>
      </c>
    </row>
    <row r="91" spans="1:7" x14ac:dyDescent="0.25">
      <c r="A91" s="122" t="s">
        <v>37</v>
      </c>
      <c r="B91" s="123" t="s">
        <v>325</v>
      </c>
      <c r="C91" s="124">
        <v>13.8850633559322</v>
      </c>
      <c r="D91" s="125">
        <v>33.65210511779658</v>
      </c>
      <c r="E91" s="125">
        <v>0</v>
      </c>
      <c r="F91" s="125">
        <v>0</v>
      </c>
      <c r="G91" s="120" t="e">
        <f>#N/A</f>
        <v>#N/A</v>
      </c>
    </row>
    <row r="92" spans="1:7" x14ac:dyDescent="0.25">
      <c r="A92" s="122" t="s">
        <v>71</v>
      </c>
      <c r="B92" s="123" t="s">
        <v>219</v>
      </c>
      <c r="C92" s="124"/>
      <c r="D92" s="125">
        <v>0</v>
      </c>
      <c r="E92" s="125">
        <v>0</v>
      </c>
      <c r="F92" s="125">
        <v>0</v>
      </c>
      <c r="G92" s="120" t="e">
        <f>#N/A</f>
        <v>#N/A</v>
      </c>
    </row>
    <row r="93" spans="1:7" x14ac:dyDescent="0.25">
      <c r="A93" s="122" t="s">
        <v>72</v>
      </c>
      <c r="B93" s="123" t="s">
        <v>220</v>
      </c>
      <c r="C93" s="124"/>
      <c r="D93" s="126">
        <v>0</v>
      </c>
      <c r="E93" s="126">
        <v>0</v>
      </c>
      <c r="F93" s="126">
        <v>0</v>
      </c>
      <c r="G93" s="120" t="e">
        <f>#N/A</f>
        <v>#N/A</v>
      </c>
    </row>
    <row r="94" spans="1:7" x14ac:dyDescent="0.25">
      <c r="A94" s="122" t="s">
        <v>22</v>
      </c>
      <c r="B94" s="123" t="s">
        <v>221</v>
      </c>
      <c r="C94" s="123">
        <v>62</v>
      </c>
      <c r="D94" s="126">
        <v>0</v>
      </c>
      <c r="E94" s="126">
        <v>0</v>
      </c>
      <c r="F94" s="126">
        <v>0</v>
      </c>
      <c r="G94" s="120" t="e">
        <f>#N/A</f>
        <v>#N/A</v>
      </c>
    </row>
    <row r="95" spans="1:7" x14ac:dyDescent="0.25">
      <c r="A95" s="122" t="s">
        <v>23</v>
      </c>
      <c r="B95" s="123" t="s">
        <v>222</v>
      </c>
      <c r="C95" s="123">
        <v>62</v>
      </c>
      <c r="D95" s="126"/>
      <c r="E95" s="126">
        <v>0</v>
      </c>
      <c r="F95" s="126">
        <v>0</v>
      </c>
      <c r="G95" s="120" t="e">
        <f>#N/A</f>
        <v>#N/A</v>
      </c>
    </row>
    <row r="96" spans="1:7" x14ac:dyDescent="0.25">
      <c r="A96" s="122" t="s">
        <v>24</v>
      </c>
      <c r="B96" s="123" t="s">
        <v>223</v>
      </c>
      <c r="C96" s="123"/>
      <c r="D96" s="132">
        <v>0</v>
      </c>
      <c r="E96" s="132">
        <v>0</v>
      </c>
      <c r="F96" s="132">
        <v>0</v>
      </c>
      <c r="G96" s="120" t="e">
        <f>#N/A</f>
        <v>#N/A</v>
      </c>
    </row>
    <row r="97" spans="1:7" x14ac:dyDescent="0.25">
      <c r="A97" s="122" t="s">
        <v>30</v>
      </c>
      <c r="B97" s="123" t="s">
        <v>224</v>
      </c>
      <c r="C97" s="123"/>
      <c r="D97" s="132">
        <v>0</v>
      </c>
      <c r="E97" s="132">
        <v>0</v>
      </c>
      <c r="F97" s="132">
        <v>0</v>
      </c>
      <c r="G97" s="120" t="e">
        <f>#N/A</f>
        <v>#N/A</v>
      </c>
    </row>
    <row r="98" spans="1:7" x14ac:dyDescent="0.25">
      <c r="A98" s="122" t="s">
        <v>38</v>
      </c>
      <c r="B98" s="123" t="s">
        <v>225</v>
      </c>
      <c r="C98" s="123"/>
      <c r="D98" s="132">
        <v>0</v>
      </c>
      <c r="E98" s="132">
        <v>0</v>
      </c>
      <c r="F98" s="132">
        <v>0</v>
      </c>
      <c r="G98" s="120" t="e">
        <f>#N/A</f>
        <v>#N/A</v>
      </c>
    </row>
    <row r="99" spans="1:7" x14ac:dyDescent="0.25">
      <c r="A99" s="122"/>
      <c r="B99" s="123" t="s">
        <v>226</v>
      </c>
      <c r="C99" s="123"/>
      <c r="D99" s="132">
        <v>0</v>
      </c>
      <c r="E99" s="132">
        <v>0</v>
      </c>
      <c r="F99" s="132">
        <v>0</v>
      </c>
      <c r="G99" s="120" t="e">
        <f>#N/A</f>
        <v>#N/A</v>
      </c>
    </row>
    <row r="100" spans="1:7" x14ac:dyDescent="0.25">
      <c r="A100" s="122"/>
      <c r="B100" s="127" t="s">
        <v>227</v>
      </c>
      <c r="C100" s="127"/>
      <c r="D100" s="132">
        <v>0</v>
      </c>
      <c r="E100" s="132">
        <v>0</v>
      </c>
      <c r="F100" s="132">
        <v>0</v>
      </c>
      <c r="G100" s="120" t="e">
        <f>#N/A</f>
        <v>#N/A</v>
      </c>
    </row>
    <row r="101" spans="1:7" x14ac:dyDescent="0.25">
      <c r="A101" s="122"/>
      <c r="B101" s="127" t="s">
        <v>228</v>
      </c>
      <c r="C101" s="127"/>
      <c r="D101" s="132">
        <v>0</v>
      </c>
      <c r="E101" s="132">
        <v>0</v>
      </c>
      <c r="F101" s="132">
        <v>0</v>
      </c>
      <c r="G101" s="120" t="e">
        <f>#N/A</f>
        <v>#N/A</v>
      </c>
    </row>
    <row r="102" spans="1:7" ht="31.5" x14ac:dyDescent="0.25">
      <c r="A102" s="122"/>
      <c r="B102" s="127" t="s">
        <v>229</v>
      </c>
      <c r="C102" s="127"/>
      <c r="D102" s="132">
        <v>0</v>
      </c>
      <c r="E102" s="132">
        <v>0</v>
      </c>
      <c r="F102" s="132">
        <v>0</v>
      </c>
      <c r="G102" s="120" t="e">
        <f>#N/A</f>
        <v>#N/A</v>
      </c>
    </row>
    <row r="103" spans="1:7" x14ac:dyDescent="0.25">
      <c r="A103" s="122" t="s">
        <v>39</v>
      </c>
      <c r="B103" s="123" t="s">
        <v>230</v>
      </c>
      <c r="C103" s="123"/>
      <c r="D103" s="132">
        <v>0</v>
      </c>
      <c r="E103" s="132">
        <v>0</v>
      </c>
      <c r="F103" s="132">
        <v>0</v>
      </c>
      <c r="G103" s="120" t="e">
        <f>#N/A</f>
        <v>#N/A</v>
      </c>
    </row>
    <row r="104" spans="1:7" x14ac:dyDescent="0.25">
      <c r="A104" s="122" t="s">
        <v>40</v>
      </c>
      <c r="B104" s="123" t="s">
        <v>231</v>
      </c>
      <c r="C104" s="123"/>
      <c r="D104" s="132">
        <v>0</v>
      </c>
      <c r="E104" s="132">
        <v>0</v>
      </c>
      <c r="F104" s="132">
        <v>0</v>
      </c>
      <c r="G104" s="120" t="e">
        <f>#N/A</f>
        <v>#N/A</v>
      </c>
    </row>
    <row r="105" spans="1:7" x14ac:dyDescent="0.25">
      <c r="A105" s="122" t="s">
        <v>41</v>
      </c>
      <c r="B105" s="123" t="s">
        <v>232</v>
      </c>
      <c r="C105" s="123"/>
      <c r="D105" s="132">
        <v>0</v>
      </c>
      <c r="E105" s="132">
        <v>0</v>
      </c>
      <c r="F105" s="132">
        <v>0</v>
      </c>
      <c r="G105" s="120" t="e">
        <f>#N/A</f>
        <v>#N/A</v>
      </c>
    </row>
    <row r="106" spans="1:7" ht="31.5" x14ac:dyDescent="0.25">
      <c r="A106" s="133"/>
      <c r="B106" s="134" t="s">
        <v>326</v>
      </c>
      <c r="C106" s="134"/>
      <c r="D106" s="135">
        <v>0</v>
      </c>
      <c r="E106" s="135">
        <v>0</v>
      </c>
      <c r="F106" s="135">
        <v>0</v>
      </c>
      <c r="G106" s="120" t="e">
        <f>#N/A</f>
        <v>#N/A</v>
      </c>
    </row>
    <row r="107" spans="1:7" x14ac:dyDescent="0.25">
      <c r="A107" s="133"/>
      <c r="B107" s="136" t="s">
        <v>327</v>
      </c>
      <c r="C107" s="136"/>
      <c r="D107" s="132" t="s">
        <v>286</v>
      </c>
      <c r="E107" s="132" t="s">
        <v>286</v>
      </c>
      <c r="F107" s="132" t="s">
        <v>286</v>
      </c>
      <c r="G107" s="120" t="e">
        <f>#N/A</f>
        <v>#N/A</v>
      </c>
    </row>
    <row r="108" spans="1:7" x14ac:dyDescent="0.25">
      <c r="A108" s="133"/>
      <c r="B108" s="136" t="s">
        <v>328</v>
      </c>
      <c r="C108" s="136"/>
      <c r="D108" s="132" t="s">
        <v>286</v>
      </c>
      <c r="E108" s="132" t="s">
        <v>286</v>
      </c>
      <c r="F108" s="132" t="s">
        <v>286</v>
      </c>
      <c r="G108" s="120" t="e">
        <f>#N/A</f>
        <v>#N/A</v>
      </c>
    </row>
    <row r="109" spans="1:7" x14ac:dyDescent="0.25">
      <c r="A109" s="133"/>
      <c r="B109" s="136" t="s">
        <v>329</v>
      </c>
      <c r="C109" s="136"/>
      <c r="D109" s="132" t="s">
        <v>286</v>
      </c>
      <c r="E109" s="132" t="s">
        <v>286</v>
      </c>
      <c r="F109" s="132" t="s">
        <v>286</v>
      </c>
      <c r="G109" s="132" t="s">
        <v>286</v>
      </c>
    </row>
    <row r="110" spans="1:7" x14ac:dyDescent="0.25">
      <c r="A110" s="137"/>
      <c r="B110" s="138"/>
      <c r="C110" s="138"/>
      <c r="D110" s="139"/>
      <c r="E110" s="139"/>
      <c r="F110" s="139"/>
      <c r="G110" s="139"/>
    </row>
    <row r="111" spans="1:7" x14ac:dyDescent="0.25">
      <c r="A111" s="137"/>
      <c r="B111" s="138"/>
      <c r="C111" s="138"/>
      <c r="D111" s="139"/>
      <c r="E111" s="139"/>
      <c r="F111" s="139"/>
      <c r="G111" s="139"/>
    </row>
    <row r="112" spans="1:7" x14ac:dyDescent="0.25">
      <c r="A112" s="140" t="s">
        <v>330</v>
      </c>
      <c r="B112" s="141"/>
      <c r="C112" s="142"/>
      <c r="D112" s="142"/>
      <c r="E112" s="142"/>
      <c r="F112" s="142"/>
      <c r="G112" s="139"/>
    </row>
    <row r="113" spans="1:12" x14ac:dyDescent="0.25">
      <c r="A113" s="143" t="s">
        <v>331</v>
      </c>
      <c r="B113" s="144" t="s">
        <v>332</v>
      </c>
      <c r="C113" s="145"/>
      <c r="D113" s="145">
        <f>D86*0.18</f>
        <v>37.899331011000001</v>
      </c>
      <c r="E113" s="145">
        <f>E86*0.18</f>
        <v>36.502761702203465</v>
      </c>
      <c r="F113" s="145">
        <f>F86*0.18</f>
        <v>21.212525412416408</v>
      </c>
      <c r="G113" s="145" t="e">
        <f>G86*0.18</f>
        <v>#N/A</v>
      </c>
    </row>
    <row r="114" spans="1:12" x14ac:dyDescent="0.25">
      <c r="A114" s="143" t="s">
        <v>333</v>
      </c>
      <c r="B114" s="144" t="s">
        <v>334</v>
      </c>
      <c r="C114" s="145"/>
      <c r="D114" s="145">
        <v>0</v>
      </c>
      <c r="E114" s="145">
        <v>0</v>
      </c>
      <c r="F114" s="145">
        <v>0</v>
      </c>
      <c r="G114" s="145" t="e">
        <f>G78*0.18</f>
        <v>#N/A</v>
      </c>
    </row>
    <row r="115" spans="1:12" x14ac:dyDescent="0.25">
      <c r="A115" s="143" t="s">
        <v>335</v>
      </c>
      <c r="B115" s="144" t="s">
        <v>336</v>
      </c>
      <c r="C115" s="145"/>
      <c r="D115" s="145">
        <v>0</v>
      </c>
      <c r="E115" s="145">
        <v>0</v>
      </c>
      <c r="F115" s="145">
        <v>0</v>
      </c>
      <c r="G115" s="145">
        <v>0</v>
      </c>
    </row>
    <row r="116" spans="1:12" x14ac:dyDescent="0.25">
      <c r="A116" s="143" t="s">
        <v>337</v>
      </c>
      <c r="B116" s="144" t="s">
        <v>338</v>
      </c>
      <c r="C116" s="145"/>
      <c r="D116" s="145">
        <f>D91*0.18</f>
        <v>6.0573789212033846</v>
      </c>
      <c r="E116" s="145">
        <f>E91*0.18</f>
        <v>0</v>
      </c>
      <c r="F116" s="145">
        <f>F91*0.18</f>
        <v>0</v>
      </c>
      <c r="G116" s="145" t="e">
        <f>G91*0.18</f>
        <v>#N/A</v>
      </c>
    </row>
    <row r="117" spans="1:12" x14ac:dyDescent="0.25">
      <c r="A117" s="137"/>
      <c r="B117" s="138"/>
      <c r="C117" s="138"/>
      <c r="D117" s="139"/>
      <c r="E117" s="139"/>
      <c r="F117" s="139"/>
      <c r="G117" s="139"/>
    </row>
    <row r="118" spans="1:12" x14ac:dyDescent="0.25">
      <c r="A118" s="140" t="s">
        <v>339</v>
      </c>
      <c r="B118" s="141"/>
      <c r="C118" s="142"/>
      <c r="D118" s="142"/>
      <c r="E118" s="142"/>
      <c r="F118" s="142"/>
      <c r="G118" s="139"/>
    </row>
    <row r="119" spans="1:12" x14ac:dyDescent="0.25">
      <c r="A119" s="143" t="s">
        <v>340</v>
      </c>
      <c r="B119" s="144" t="s">
        <v>341</v>
      </c>
      <c r="C119" s="145">
        <v>13.8850633559322</v>
      </c>
      <c r="D119" s="146">
        <v>24.843750203389803</v>
      </c>
      <c r="E119" s="146">
        <v>0</v>
      </c>
      <c r="F119" s="146"/>
      <c r="G119" s="146">
        <f>SUM(C119:F119)</f>
        <v>38.728813559322006</v>
      </c>
    </row>
    <row r="120" spans="1:12" x14ac:dyDescent="0.25">
      <c r="A120" s="143" t="s">
        <v>342</v>
      </c>
      <c r="B120" s="144" t="s">
        <v>343</v>
      </c>
      <c r="C120" s="145"/>
      <c r="D120" s="146">
        <v>8.808354914406781</v>
      </c>
      <c r="E120" s="146">
        <v>0</v>
      </c>
      <c r="F120" s="146"/>
      <c r="G120" s="146">
        <f>SUM(D120:F120)</f>
        <v>8.808354914406781</v>
      </c>
    </row>
    <row r="121" spans="1:12" ht="15" x14ac:dyDescent="0.25">
      <c r="A121" s="65"/>
      <c r="B121" s="65"/>
      <c r="C121" s="65"/>
      <c r="D121" s="65"/>
      <c r="E121" s="65"/>
      <c r="F121" s="65"/>
    </row>
    <row r="122" spans="1:12" x14ac:dyDescent="0.25">
      <c r="A122" s="395" t="s">
        <v>344</v>
      </c>
      <c r="B122" s="395"/>
      <c r="C122" s="395"/>
      <c r="D122" s="395"/>
      <c r="E122" s="395"/>
      <c r="F122" s="395"/>
      <c r="G122" s="395"/>
      <c r="H122" s="106"/>
      <c r="I122" s="106"/>
      <c r="J122" s="106"/>
      <c r="K122" s="106"/>
      <c r="L122" s="106"/>
    </row>
    <row r="123" spans="1:12" x14ac:dyDescent="0.25">
      <c r="A123" s="395"/>
      <c r="B123" s="395"/>
      <c r="C123" s="395"/>
      <c r="D123" s="395"/>
      <c r="E123" s="395"/>
      <c r="F123" s="395"/>
      <c r="G123" s="395"/>
      <c r="H123" s="106"/>
      <c r="I123" s="106"/>
      <c r="J123" s="106"/>
      <c r="K123" s="106"/>
      <c r="L123" s="106"/>
    </row>
    <row r="124" spans="1:12" x14ac:dyDescent="0.25">
      <c r="A124" s="123"/>
      <c r="B124" s="104"/>
      <c r="C124" s="147">
        <v>2016</v>
      </c>
      <c r="D124" s="147">
        <v>2017</v>
      </c>
      <c r="E124" s="147">
        <v>2018</v>
      </c>
      <c r="F124" s="147">
        <v>2019</v>
      </c>
      <c r="G124" s="67" t="s">
        <v>195</v>
      </c>
    </row>
    <row r="125" spans="1:12" x14ac:dyDescent="0.25">
      <c r="A125" s="123"/>
      <c r="B125" s="104" t="s">
        <v>345</v>
      </c>
      <c r="C125" s="148">
        <v>1246.9565924540814</v>
      </c>
      <c r="D125" s="148">
        <v>1333.3745107684242</v>
      </c>
      <c r="E125" s="148">
        <v>1343.8637412115788</v>
      </c>
      <c r="F125" s="148">
        <v>1397.9603197206134</v>
      </c>
      <c r="G125" s="149">
        <f>SUM(C125:F125)</f>
        <v>5322.1551641546976</v>
      </c>
    </row>
    <row r="126" spans="1:12" x14ac:dyDescent="0.25">
      <c r="A126" s="123"/>
      <c r="B126" s="150" t="s">
        <v>346</v>
      </c>
      <c r="C126" s="151">
        <v>1180.9764331568813</v>
      </c>
      <c r="D126" s="151">
        <v>1260.9037833719867</v>
      </c>
      <c r="E126" s="151">
        <v>1294.3366197039372</v>
      </c>
      <c r="F126" s="151">
        <v>1345.7112672736771</v>
      </c>
      <c r="G126" s="149">
        <f>SUM(C126:F126)</f>
        <v>5081.9281035064823</v>
      </c>
    </row>
    <row r="127" spans="1:12" x14ac:dyDescent="0.25">
      <c r="A127" s="123"/>
      <c r="B127" s="150" t="s">
        <v>347</v>
      </c>
      <c r="C127" s="151">
        <v>65.98015929719999</v>
      </c>
      <c r="D127" s="151">
        <v>72.470727396437596</v>
      </c>
      <c r="E127" s="151">
        <v>49.527121507641652</v>
      </c>
      <c r="F127" s="151">
        <v>52.249052446936354</v>
      </c>
      <c r="G127" s="149" t="e">
        <f>#N/A</f>
        <v>#N/A</v>
      </c>
    </row>
    <row r="128" spans="1:12" x14ac:dyDescent="0.25">
      <c r="A128" s="123"/>
      <c r="B128" s="150" t="s">
        <v>348</v>
      </c>
      <c r="C128" s="151"/>
      <c r="D128" s="151"/>
      <c r="E128" s="151"/>
      <c r="F128" s="151"/>
      <c r="G128" s="149" t="e">
        <f>#N/A</f>
        <v>#N/A</v>
      </c>
    </row>
    <row r="129" spans="1:7" x14ac:dyDescent="0.25">
      <c r="A129" s="123"/>
      <c r="B129" s="150" t="s">
        <v>349</v>
      </c>
      <c r="C129" s="152"/>
      <c r="D129" s="152"/>
      <c r="E129" s="152"/>
      <c r="F129" s="153"/>
      <c r="G129" s="149" t="e">
        <f>#N/A</f>
        <v>#N/A</v>
      </c>
    </row>
    <row r="130" spans="1:7" x14ac:dyDescent="0.25">
      <c r="A130" s="123"/>
      <c r="B130" s="150" t="s">
        <v>350</v>
      </c>
      <c r="C130" s="151"/>
      <c r="D130" s="151"/>
      <c r="E130" s="151"/>
      <c r="F130" s="151"/>
      <c r="G130" s="149" t="e">
        <f>#N/A</f>
        <v>#N/A</v>
      </c>
    </row>
    <row r="131" spans="1:7" x14ac:dyDescent="0.25">
      <c r="A131" s="123"/>
      <c r="B131" s="104" t="s">
        <v>351</v>
      </c>
      <c r="C131" s="148">
        <v>1501.6874000000003</v>
      </c>
      <c r="D131" s="148">
        <v>1603.0116999999998</v>
      </c>
      <c r="E131" s="148">
        <v>1617.2438</v>
      </c>
      <c r="F131" s="148">
        <v>1657.3319999999999</v>
      </c>
      <c r="G131" s="149" t="e">
        <f>#N/A</f>
        <v>#N/A</v>
      </c>
    </row>
    <row r="132" spans="1:7" x14ac:dyDescent="0.25">
      <c r="A132" s="123"/>
      <c r="B132" s="154" t="s">
        <v>352</v>
      </c>
      <c r="C132" s="153">
        <v>1501.6874000000003</v>
      </c>
      <c r="D132" s="153">
        <v>1603.0116999999998</v>
      </c>
      <c r="E132" s="153">
        <v>1617.2438</v>
      </c>
      <c r="F132" s="153">
        <v>1657.3319999999999</v>
      </c>
      <c r="G132" s="149" t="e">
        <f>#N/A</f>
        <v>#N/A</v>
      </c>
    </row>
    <row r="133" spans="1:7" x14ac:dyDescent="0.25">
      <c r="A133" s="123"/>
      <c r="B133" s="150" t="s">
        <v>346</v>
      </c>
      <c r="C133" s="151">
        <v>1501.6874000000003</v>
      </c>
      <c r="D133" s="151">
        <v>1603.0116999999998</v>
      </c>
      <c r="E133" s="151">
        <v>1617.2438</v>
      </c>
      <c r="F133" s="151">
        <v>1657.3319999999999</v>
      </c>
      <c r="G133" s="149" t="e">
        <f>#N/A</f>
        <v>#N/A</v>
      </c>
    </row>
    <row r="134" spans="1:7" x14ac:dyDescent="0.25">
      <c r="A134" s="123"/>
      <c r="B134" s="150" t="s">
        <v>347</v>
      </c>
      <c r="C134" s="151">
        <v>0</v>
      </c>
      <c r="D134" s="151">
        <v>0</v>
      </c>
      <c r="E134" s="151">
        <v>0</v>
      </c>
      <c r="F134" s="151">
        <v>0</v>
      </c>
      <c r="G134" s="149" t="e">
        <f>#N/A</f>
        <v>#N/A</v>
      </c>
    </row>
    <row r="135" spans="1:7" x14ac:dyDescent="0.25">
      <c r="A135" s="123"/>
      <c r="B135" s="150" t="s">
        <v>348</v>
      </c>
      <c r="C135" s="151"/>
      <c r="D135" s="151"/>
      <c r="E135" s="151"/>
      <c r="F135" s="151"/>
      <c r="G135" s="149" t="e">
        <f>#N/A</f>
        <v>#N/A</v>
      </c>
    </row>
    <row r="136" spans="1:7" x14ac:dyDescent="0.25">
      <c r="A136" s="123"/>
      <c r="B136" s="150" t="s">
        <v>349</v>
      </c>
      <c r="C136" s="152"/>
      <c r="D136" s="152"/>
      <c r="E136" s="152"/>
      <c r="F136" s="153"/>
      <c r="G136" s="149" t="e">
        <f>#N/A</f>
        <v>#N/A</v>
      </c>
    </row>
    <row r="137" spans="1:7" x14ac:dyDescent="0.25">
      <c r="A137" s="123"/>
      <c r="B137" s="150" t="s">
        <v>350</v>
      </c>
      <c r="C137" s="151"/>
      <c r="D137" s="151"/>
      <c r="E137" s="151"/>
      <c r="F137" s="151"/>
      <c r="G137" s="149" t="e">
        <f>#N/A</f>
        <v>#N/A</v>
      </c>
    </row>
    <row r="138" spans="1:7" x14ac:dyDescent="0.25">
      <c r="A138" s="123"/>
      <c r="B138" s="154" t="s">
        <v>353</v>
      </c>
      <c r="C138" s="153">
        <v>0</v>
      </c>
      <c r="D138" s="153">
        <v>0</v>
      </c>
      <c r="E138" s="153">
        <v>0</v>
      </c>
      <c r="F138" s="153">
        <v>0</v>
      </c>
      <c r="G138" s="149" t="e">
        <f>#N/A</f>
        <v>#N/A</v>
      </c>
    </row>
    <row r="139" spans="1:7" x14ac:dyDescent="0.25">
      <c r="A139" s="123"/>
      <c r="B139" s="104" t="s">
        <v>354</v>
      </c>
      <c r="C139" s="151">
        <v>-254.73080754591888</v>
      </c>
      <c r="D139" s="155">
        <v>-269.63718923157558</v>
      </c>
      <c r="E139" s="155">
        <v>-273.38005878842114</v>
      </c>
      <c r="F139" s="155">
        <v>-259.37168027938651</v>
      </c>
      <c r="G139" s="149" t="e">
        <f>#N/A</f>
        <v>#N/A</v>
      </c>
    </row>
    <row r="140" spans="1:7" x14ac:dyDescent="0.25">
      <c r="A140" s="123"/>
      <c r="B140" s="104" t="s">
        <v>355</v>
      </c>
      <c r="C140" s="151">
        <v>253.47853612210002</v>
      </c>
      <c r="D140" s="155">
        <v>298.69440072895054</v>
      </c>
      <c r="E140" s="155">
        <v>343.39307794321775</v>
      </c>
      <c r="F140" s="155">
        <v>372.35159082009477</v>
      </c>
      <c r="G140" s="149" t="e">
        <f>#N/A</f>
        <v>#N/A</v>
      </c>
    </row>
    <row r="141" spans="1:7" x14ac:dyDescent="0.25">
      <c r="A141" s="123"/>
      <c r="B141" s="104" t="s">
        <v>356</v>
      </c>
      <c r="C141" s="151">
        <v>31.952114379999998</v>
      </c>
      <c r="D141" s="155">
        <v>24.37875</v>
      </c>
      <c r="E141" s="155">
        <v>21.532499999999999</v>
      </c>
      <c r="F141" s="155">
        <v>14.72625</v>
      </c>
      <c r="G141" s="149" t="e">
        <f>#N/A</f>
        <v>#N/A</v>
      </c>
    </row>
    <row r="142" spans="1:7" x14ac:dyDescent="0.25">
      <c r="A142" s="123"/>
      <c r="B142" s="104" t="s">
        <v>276</v>
      </c>
      <c r="C142" s="151">
        <v>0</v>
      </c>
      <c r="D142" s="155">
        <v>5.8114422994749937</v>
      </c>
      <c r="E142" s="155">
        <v>14.002603830959323</v>
      </c>
      <c r="F142" s="155">
        <v>22.595982108141655</v>
      </c>
      <c r="G142" s="149" t="e">
        <f>#N/A</f>
        <v>#N/A</v>
      </c>
    </row>
    <row r="143" spans="1:7" x14ac:dyDescent="0.25">
      <c r="A143" s="123"/>
      <c r="B143" s="104" t="s">
        <v>357</v>
      </c>
      <c r="C143" s="148">
        <v>-1.2522714238188541</v>
      </c>
      <c r="D143" s="156">
        <v>23.245769197899971</v>
      </c>
      <c r="E143" s="156">
        <v>56.010415323837286</v>
      </c>
      <c r="F143" s="156">
        <v>90.383928432566606</v>
      </c>
      <c r="G143" s="149">
        <f>SUM(C143:F143)</f>
        <v>168.38784153048499</v>
      </c>
    </row>
    <row r="144" spans="1:7" x14ac:dyDescent="0.25">
      <c r="A144" s="123"/>
      <c r="B144" s="104" t="s">
        <v>358</v>
      </c>
      <c r="C144" s="157"/>
      <c r="D144" s="158"/>
      <c r="E144" s="158"/>
      <c r="F144" s="158"/>
      <c r="G144" s="149" t="e">
        <f>#N/A</f>
        <v>#N/A</v>
      </c>
    </row>
    <row r="145" spans="1:14" ht="47.25" x14ac:dyDescent="0.25">
      <c r="A145" s="123"/>
      <c r="B145" s="159" t="s">
        <v>359</v>
      </c>
      <c r="C145" s="157"/>
      <c r="D145" s="160">
        <v>1915.909030155856</v>
      </c>
      <c r="E145" s="160">
        <v>1948.2591186732507</v>
      </c>
      <c r="F145" s="161">
        <v>2025.269242961283</v>
      </c>
      <c r="G145" s="162" t="e">
        <f>#N/A</f>
        <v>#N/A</v>
      </c>
      <c r="H145" s="163" t="s">
        <v>360</v>
      </c>
      <c r="J145" s="164">
        <f>D145/C125-1</f>
        <v>0.53646810301971959</v>
      </c>
      <c r="K145" s="164">
        <f>E145/D125-1</f>
        <v>0.46114921422224286</v>
      </c>
      <c r="L145" s="164">
        <f>F145/E125-1</f>
        <v>0.50704954740082031</v>
      </c>
      <c r="M145" s="164"/>
      <c r="N145" s="164"/>
    </row>
    <row r="146" spans="1:14" x14ac:dyDescent="0.25">
      <c r="A146" s="123"/>
      <c r="B146" s="165" t="s">
        <v>361</v>
      </c>
      <c r="C146" s="166">
        <v>1724.034046882105</v>
      </c>
      <c r="D146" s="167">
        <v>1915.909030155856</v>
      </c>
      <c r="E146" s="167">
        <v>1948.2591186732507</v>
      </c>
      <c r="F146" s="168">
        <v>2025.269242961283</v>
      </c>
      <c r="G146" s="162" t="e">
        <f>#N/A</f>
        <v>#N/A</v>
      </c>
    </row>
    <row r="147" spans="1:14" x14ac:dyDescent="0.25">
      <c r="A147" s="123"/>
      <c r="B147" s="169" t="s">
        <v>362</v>
      </c>
      <c r="C147" s="170">
        <v>1369.5431204114091</v>
      </c>
      <c r="D147" s="171">
        <v>1452.5588335572888</v>
      </c>
      <c r="E147" s="171">
        <v>1498.8977883816333</v>
      </c>
      <c r="F147" s="172">
        <v>1549.1141150911051</v>
      </c>
      <c r="G147" s="149" t="e">
        <f>#N/A</f>
        <v>#N/A</v>
      </c>
    </row>
    <row r="148" spans="1:14" x14ac:dyDescent="0.25">
      <c r="A148" s="123"/>
      <c r="B148" s="169" t="s">
        <v>363</v>
      </c>
      <c r="C148" s="166">
        <v>77.856587970695998</v>
      </c>
      <c r="D148" s="155">
        <v>85.515458327796367</v>
      </c>
      <c r="E148" s="155">
        <v>58.442003379017152</v>
      </c>
      <c r="F148" s="173">
        <v>61.653881887384884</v>
      </c>
      <c r="G148" s="149" t="e">
        <f>#N/A</f>
        <v>#N/A</v>
      </c>
    </row>
    <row r="149" spans="1:14" x14ac:dyDescent="0.25">
      <c r="A149" s="123"/>
      <c r="B149" s="174" t="s">
        <v>364</v>
      </c>
      <c r="C149" s="166">
        <v>276.63433850000013</v>
      </c>
      <c r="D149" s="155">
        <v>377.83473827077086</v>
      </c>
      <c r="E149" s="155">
        <v>390.91932691260001</v>
      </c>
      <c r="F149" s="173">
        <v>414.50124598279302</v>
      </c>
      <c r="G149" s="149" t="e">
        <f>#N/A</f>
        <v>#N/A</v>
      </c>
    </row>
    <row r="150" spans="1:14" x14ac:dyDescent="0.25">
      <c r="A150" s="123"/>
      <c r="B150" s="169" t="s">
        <v>349</v>
      </c>
      <c r="C150" s="170">
        <v>0</v>
      </c>
      <c r="D150" s="171">
        <v>0</v>
      </c>
      <c r="E150" s="171">
        <v>0</v>
      </c>
      <c r="F150" s="172">
        <v>0</v>
      </c>
      <c r="G150" s="149" t="e">
        <f>#N/A</f>
        <v>#N/A</v>
      </c>
    </row>
    <row r="151" spans="1:14" x14ac:dyDescent="0.25">
      <c r="A151" s="123"/>
      <c r="B151" s="175" t="s">
        <v>365</v>
      </c>
      <c r="C151" s="166">
        <v>295.22475850000012</v>
      </c>
      <c r="D151" s="155">
        <v>335.91862003077091</v>
      </c>
      <c r="E151" s="155">
        <v>378.42838</v>
      </c>
      <c r="F151" s="173">
        <v>401.32329699000002</v>
      </c>
      <c r="G151" s="149" t="e">
        <f>#N/A</f>
        <v>#N/A</v>
      </c>
    </row>
    <row r="152" spans="1:14" x14ac:dyDescent="0.25">
      <c r="A152" s="123"/>
      <c r="B152" s="175" t="s">
        <v>366</v>
      </c>
      <c r="C152" s="166">
        <v>1623.4106802157148</v>
      </c>
      <c r="D152" s="155">
        <v>1630.193783011119</v>
      </c>
      <c r="E152" s="155">
        <v>1655.5192821354708</v>
      </c>
      <c r="F152" s="173">
        <v>1752.3612997969412</v>
      </c>
      <c r="G152" s="149" t="e">
        <f>#N/A</f>
        <v>#N/A</v>
      </c>
    </row>
    <row r="153" spans="1:14" x14ac:dyDescent="0.25">
      <c r="A153" s="123"/>
      <c r="B153" s="176" t="s">
        <v>367</v>
      </c>
      <c r="C153" s="166">
        <v>1559.4716585315348</v>
      </c>
      <c r="D153" s="155">
        <v>1572.4652165853802</v>
      </c>
      <c r="E153" s="155">
        <v>1599.1191961778977</v>
      </c>
      <c r="F153" s="173">
        <v>1678.4381597491545</v>
      </c>
      <c r="G153" s="149" t="e">
        <f>#N/A</f>
        <v>#N/A</v>
      </c>
    </row>
    <row r="154" spans="1:14" x14ac:dyDescent="0.25">
      <c r="A154" s="123"/>
      <c r="B154" s="175" t="s">
        <v>362</v>
      </c>
      <c r="C154" s="166">
        <v>1559.4716585315348</v>
      </c>
      <c r="D154" s="155">
        <v>1572.4652165853802</v>
      </c>
      <c r="E154" s="155">
        <v>1599.1191961778977</v>
      </c>
      <c r="F154" s="173">
        <v>1678.4381597491545</v>
      </c>
      <c r="G154" s="149" t="e">
        <f>#N/A</f>
        <v>#N/A</v>
      </c>
    </row>
    <row r="155" spans="1:14" x14ac:dyDescent="0.25">
      <c r="A155" s="123"/>
      <c r="B155" s="169" t="s">
        <v>363</v>
      </c>
      <c r="C155" s="166">
        <v>0</v>
      </c>
      <c r="D155" s="155">
        <v>0</v>
      </c>
      <c r="E155" s="155">
        <v>0</v>
      </c>
      <c r="F155" s="171">
        <v>0</v>
      </c>
      <c r="G155" s="149" t="e">
        <f>#N/A</f>
        <v>#N/A</v>
      </c>
    </row>
    <row r="156" spans="1:14" x14ac:dyDescent="0.25">
      <c r="A156" s="123"/>
      <c r="B156" s="169" t="s">
        <v>368</v>
      </c>
      <c r="C156" s="155"/>
      <c r="D156" s="155">
        <v>0</v>
      </c>
      <c r="E156" s="155">
        <v>0</v>
      </c>
      <c r="F156" s="173">
        <v>0</v>
      </c>
      <c r="G156" s="149" t="e">
        <f>#N/A</f>
        <v>#N/A</v>
      </c>
    </row>
    <row r="157" spans="1:14" x14ac:dyDescent="0.25">
      <c r="A157" s="123"/>
      <c r="B157" s="169" t="s">
        <v>349</v>
      </c>
      <c r="C157" s="171"/>
      <c r="D157" s="171">
        <v>0</v>
      </c>
      <c r="E157" s="171">
        <v>0</v>
      </c>
      <c r="F157" s="172">
        <v>0</v>
      </c>
      <c r="G157" s="149" t="e">
        <f>#N/A</f>
        <v>#N/A</v>
      </c>
    </row>
    <row r="158" spans="1:14" x14ac:dyDescent="0.25">
      <c r="A158" s="123"/>
      <c r="B158" s="169" t="s">
        <v>369</v>
      </c>
      <c r="C158" s="155">
        <v>63.939021684179998</v>
      </c>
      <c r="D158" s="155">
        <v>57.728566425738833</v>
      </c>
      <c r="E158" s="155">
        <v>56.40008595757309</v>
      </c>
      <c r="F158" s="173">
        <v>73.923140047786859</v>
      </c>
      <c r="G158" s="149" t="e">
        <f>#N/A</f>
        <v>#N/A</v>
      </c>
    </row>
    <row r="159" spans="1:14" ht="16.5" x14ac:dyDescent="0.25">
      <c r="A159" s="123"/>
      <c r="B159" s="177" t="s">
        <v>370</v>
      </c>
      <c r="C159" s="173">
        <v>0</v>
      </c>
      <c r="D159" s="173">
        <v>0</v>
      </c>
      <c r="E159" s="173">
        <v>0</v>
      </c>
      <c r="F159" s="173">
        <v>0</v>
      </c>
      <c r="G159" s="149" t="e">
        <f>#N/A</f>
        <v>#N/A</v>
      </c>
    </row>
    <row r="160" spans="1:14" x14ac:dyDescent="0.25">
      <c r="A160" s="123"/>
      <c r="B160" s="104" t="s">
        <v>371</v>
      </c>
      <c r="C160" s="171">
        <v>31.952114379999998</v>
      </c>
      <c r="D160" s="171">
        <v>24.37875</v>
      </c>
      <c r="E160" s="171">
        <v>21.532499999999999</v>
      </c>
      <c r="F160" s="172">
        <v>14.72625</v>
      </c>
      <c r="G160" s="149" t="e">
        <f>#N/A</f>
        <v>#N/A</v>
      </c>
    </row>
    <row r="161" spans="1:7" x14ac:dyDescent="0.25">
      <c r="A161" s="123"/>
      <c r="B161" s="178" t="s">
        <v>372</v>
      </c>
      <c r="C161" s="166">
        <v>100.62336666639021</v>
      </c>
      <c r="D161" s="155">
        <v>285.71524714473708</v>
      </c>
      <c r="E161" s="155">
        <v>292.73983653777987</v>
      </c>
      <c r="F161" s="173">
        <v>272.90794316434176</v>
      </c>
      <c r="G161" s="149" t="e">
        <f>#N/A</f>
        <v>#N/A</v>
      </c>
    </row>
    <row r="162" spans="1:7" x14ac:dyDescent="0.25">
      <c r="A162" s="123"/>
      <c r="B162" s="159" t="s">
        <v>373</v>
      </c>
      <c r="C162" s="166"/>
      <c r="D162" s="155"/>
      <c r="E162" s="155"/>
      <c r="F162" s="173"/>
      <c r="G162" s="149" t="e">
        <f>#N/A</f>
        <v>#N/A</v>
      </c>
    </row>
    <row r="163" spans="1:7" ht="16.5" x14ac:dyDescent="0.25">
      <c r="A163" s="123"/>
      <c r="B163" s="177" t="s">
        <v>361</v>
      </c>
      <c r="C163" s="179">
        <v>152.97232079999998</v>
      </c>
      <c r="D163" s="173">
        <v>0</v>
      </c>
      <c r="E163" s="173">
        <v>0</v>
      </c>
      <c r="F163" s="173">
        <v>0</v>
      </c>
      <c r="G163" s="149" t="e">
        <f>#N/A</f>
        <v>#N/A</v>
      </c>
    </row>
    <row r="164" spans="1:7" x14ac:dyDescent="0.25">
      <c r="A164" s="123"/>
      <c r="B164" s="104" t="s">
        <v>374</v>
      </c>
      <c r="C164" s="170">
        <v>253.27691816000001</v>
      </c>
      <c r="D164" s="171">
        <v>288.16000000000003</v>
      </c>
      <c r="E164" s="171">
        <v>239.29599999999999</v>
      </c>
      <c r="F164" s="172">
        <v>139.06199999999998</v>
      </c>
      <c r="G164" s="149" t="e">
        <f>#N/A</f>
        <v>#N/A</v>
      </c>
    </row>
    <row r="165" spans="1:7" x14ac:dyDescent="0.25">
      <c r="A165" s="123"/>
      <c r="B165" s="178" t="s">
        <v>375</v>
      </c>
      <c r="C165" s="166">
        <v>-100.30459736000003</v>
      </c>
      <c r="D165" s="155">
        <v>-288.16000000000003</v>
      </c>
      <c r="E165" s="155">
        <v>-239.29599999999999</v>
      </c>
      <c r="F165" s="173">
        <v>-139.06199999999998</v>
      </c>
      <c r="G165" s="149" t="e">
        <f>#N/A</f>
        <v>#N/A</v>
      </c>
    </row>
    <row r="166" spans="1:7" x14ac:dyDescent="0.25">
      <c r="A166" s="123"/>
      <c r="B166" s="180" t="s">
        <v>376</v>
      </c>
      <c r="C166" s="170"/>
      <c r="D166" s="171"/>
      <c r="E166" s="171"/>
      <c r="F166" s="172"/>
      <c r="G166" s="149" t="e">
        <f>#N/A</f>
        <v>#N/A</v>
      </c>
    </row>
    <row r="167" spans="1:7" x14ac:dyDescent="0.25">
      <c r="A167" s="123"/>
      <c r="B167" s="154" t="s">
        <v>361</v>
      </c>
      <c r="C167" s="166">
        <v>62</v>
      </c>
      <c r="D167" s="155">
        <v>0</v>
      </c>
      <c r="E167" s="155">
        <v>0</v>
      </c>
      <c r="F167" s="173">
        <v>0</v>
      </c>
      <c r="G167" s="149" t="e">
        <f>#N/A</f>
        <v>#N/A</v>
      </c>
    </row>
    <row r="168" spans="1:7" x14ac:dyDescent="0.25">
      <c r="A168" s="123"/>
      <c r="B168" s="174" t="s">
        <v>377</v>
      </c>
      <c r="C168" s="166">
        <v>0</v>
      </c>
      <c r="D168" s="155">
        <v>0</v>
      </c>
      <c r="E168" s="155">
        <v>0</v>
      </c>
      <c r="F168" s="173">
        <v>0</v>
      </c>
      <c r="G168" s="149" t="e">
        <f>#N/A</f>
        <v>#N/A</v>
      </c>
    </row>
    <row r="169" spans="1:7" x14ac:dyDescent="0.25">
      <c r="A169" s="123"/>
      <c r="B169" s="154" t="s">
        <v>378</v>
      </c>
      <c r="C169" s="166">
        <v>62</v>
      </c>
      <c r="D169" s="155">
        <v>0</v>
      </c>
      <c r="E169" s="155">
        <v>0</v>
      </c>
      <c r="F169" s="173">
        <v>0</v>
      </c>
      <c r="G169" s="149" t="e">
        <f>#N/A</f>
        <v>#N/A</v>
      </c>
    </row>
    <row r="170" spans="1:7" ht="16.5" x14ac:dyDescent="0.25">
      <c r="A170" s="123"/>
      <c r="B170" s="177" t="s">
        <v>379</v>
      </c>
      <c r="C170" s="166">
        <v>90</v>
      </c>
      <c r="D170" s="155">
        <v>23</v>
      </c>
      <c r="E170" s="155">
        <v>55.232457798005356</v>
      </c>
      <c r="F170" s="155">
        <v>119.23245779800537</v>
      </c>
      <c r="G170" s="149" t="e">
        <f>#N/A</f>
        <v>#N/A</v>
      </c>
    </row>
    <row r="171" spans="1:7" x14ac:dyDescent="0.25">
      <c r="A171" s="123"/>
      <c r="B171" s="104" t="s">
        <v>60</v>
      </c>
      <c r="C171" s="166">
        <v>90</v>
      </c>
      <c r="D171" s="155">
        <v>23</v>
      </c>
      <c r="E171" s="155">
        <v>55</v>
      </c>
      <c r="F171" s="173">
        <v>119</v>
      </c>
      <c r="G171" s="149" t="e">
        <f>#N/A</f>
        <v>#N/A</v>
      </c>
    </row>
    <row r="172" spans="1:7" x14ac:dyDescent="0.25">
      <c r="A172" s="123"/>
      <c r="B172" s="178" t="s">
        <v>380</v>
      </c>
      <c r="C172" s="170">
        <v>-28</v>
      </c>
      <c r="D172" s="171">
        <v>-23</v>
      </c>
      <c r="E172" s="171">
        <v>-55.232457798005356</v>
      </c>
      <c r="F172" s="172">
        <v>-119.23245779800537</v>
      </c>
      <c r="G172" s="149" t="e">
        <f>#N/A</f>
        <v>#N/A</v>
      </c>
    </row>
    <row r="173" spans="1:7" x14ac:dyDescent="0.25">
      <c r="A173" s="123"/>
      <c r="B173" s="181" t="s">
        <v>381</v>
      </c>
      <c r="C173" s="170">
        <v>-27.68123069360982</v>
      </c>
      <c r="D173" s="171">
        <v>-25.444752855262948</v>
      </c>
      <c r="E173" s="171">
        <v>-1.788621260225483</v>
      </c>
      <c r="F173" s="172">
        <v>14.613485366336405</v>
      </c>
      <c r="G173" s="149" t="e">
        <f>#N/A</f>
        <v>#N/A</v>
      </c>
    </row>
    <row r="174" spans="1:7" x14ac:dyDescent="0.25">
      <c r="A174" s="123"/>
      <c r="B174" s="181" t="s">
        <v>382</v>
      </c>
      <c r="C174" s="170">
        <v>0</v>
      </c>
      <c r="D174" s="171">
        <v>0</v>
      </c>
      <c r="E174" s="171">
        <v>0</v>
      </c>
      <c r="F174" s="172">
        <v>0</v>
      </c>
      <c r="G174" s="149" t="e">
        <f>#N/A</f>
        <v>#N/A</v>
      </c>
    </row>
    <row r="175" spans="1:7" x14ac:dyDescent="0.25">
      <c r="A175" s="123"/>
      <c r="B175" s="181" t="s">
        <v>383</v>
      </c>
      <c r="C175" s="170">
        <v>0</v>
      </c>
      <c r="D175" s="171">
        <v>0</v>
      </c>
      <c r="E175" s="171">
        <v>0</v>
      </c>
      <c r="F175" s="172">
        <v>0</v>
      </c>
      <c r="G175" s="149" t="e">
        <f>#N/A</f>
        <v>#N/A</v>
      </c>
    </row>
    <row r="176" spans="1:7" x14ac:dyDescent="0.25">
      <c r="A176" s="123"/>
      <c r="B176" s="181" t="s">
        <v>384</v>
      </c>
      <c r="C176" s="170">
        <v>0</v>
      </c>
      <c r="D176" s="171">
        <v>0</v>
      </c>
      <c r="E176" s="171">
        <v>0</v>
      </c>
      <c r="F176" s="172">
        <v>0</v>
      </c>
      <c r="G176" s="149" t="e">
        <f>#N/A</f>
        <v>#N/A</v>
      </c>
    </row>
    <row r="177" spans="1:8" x14ac:dyDescent="0.25">
      <c r="A177" s="123"/>
      <c r="B177" s="104" t="s">
        <v>385</v>
      </c>
      <c r="C177" s="170">
        <v>0</v>
      </c>
      <c r="D177" s="171">
        <v>0</v>
      </c>
      <c r="E177" s="171">
        <v>0</v>
      </c>
      <c r="F177" s="171">
        <v>0</v>
      </c>
      <c r="G177" s="149" t="e">
        <f>#N/A</f>
        <v>#N/A</v>
      </c>
    </row>
    <row r="178" spans="1:8" x14ac:dyDescent="0.25">
      <c r="A178" s="123"/>
      <c r="B178" s="104" t="s">
        <v>386</v>
      </c>
      <c r="C178" s="170">
        <v>0</v>
      </c>
      <c r="D178" s="171">
        <v>0</v>
      </c>
      <c r="E178" s="171">
        <v>0</v>
      </c>
      <c r="F178" s="172">
        <v>0</v>
      </c>
      <c r="G178" s="149" t="e">
        <f>#N/A</f>
        <v>#N/A</v>
      </c>
    </row>
    <row r="179" spans="1:8" x14ac:dyDescent="0.25">
      <c r="A179" s="123"/>
      <c r="B179" s="181" t="s">
        <v>381</v>
      </c>
      <c r="C179" s="166">
        <v>-27.68123069360982</v>
      </c>
      <c r="D179" s="155">
        <v>-25.444752855262948</v>
      </c>
      <c r="E179" s="155">
        <v>-1.788621260225483</v>
      </c>
      <c r="F179" s="173">
        <v>14.613485366336405</v>
      </c>
      <c r="G179" s="149" t="e">
        <f>#N/A</f>
        <v>#N/A</v>
      </c>
    </row>
    <row r="180" spans="1:8" x14ac:dyDescent="0.25">
      <c r="A180" s="123"/>
      <c r="B180" s="174" t="s">
        <v>387</v>
      </c>
      <c r="C180" s="170">
        <v>-27.68123069360982</v>
      </c>
      <c r="D180" s="171">
        <v>-25.444752855262948</v>
      </c>
      <c r="E180" s="171">
        <v>-27.233374115488431</v>
      </c>
      <c r="F180" s="172">
        <v>-12.619888749152025</v>
      </c>
      <c r="G180" s="149" t="e">
        <f>#N/A</f>
        <v>#N/A</v>
      </c>
    </row>
    <row r="181" spans="1:8" x14ac:dyDescent="0.25">
      <c r="A181" s="123"/>
      <c r="B181" s="174" t="s">
        <v>388</v>
      </c>
      <c r="C181" s="170">
        <v>79.32396158499958</v>
      </c>
      <c r="D181" s="171">
        <v>51.642730891390244</v>
      </c>
      <c r="E181" s="171">
        <v>26.197978036127296</v>
      </c>
      <c r="F181" s="172">
        <v>24.409356775901813</v>
      </c>
      <c r="G181" s="149" t="e">
        <f>#N/A</f>
        <v>#N/A</v>
      </c>
    </row>
    <row r="182" spans="1:8" x14ac:dyDescent="0.25">
      <c r="A182" s="123"/>
      <c r="B182" s="123" t="s">
        <v>389</v>
      </c>
      <c r="C182" s="182">
        <v>225</v>
      </c>
      <c r="D182" s="183">
        <v>197</v>
      </c>
      <c r="E182" s="183">
        <v>174</v>
      </c>
      <c r="F182" s="183">
        <v>119</v>
      </c>
      <c r="G182" s="149" t="e">
        <f>#N/A</f>
        <v>#N/A</v>
      </c>
    </row>
    <row r="183" spans="1:8" x14ac:dyDescent="0.25">
      <c r="A183" s="123"/>
      <c r="B183" s="123" t="s">
        <v>390</v>
      </c>
      <c r="C183" s="182">
        <v>197</v>
      </c>
      <c r="D183" s="123">
        <v>174</v>
      </c>
      <c r="E183" s="123">
        <v>119</v>
      </c>
      <c r="F183" s="123">
        <v>0</v>
      </c>
      <c r="G183" s="149">
        <f>SUM(C183:F183)</f>
        <v>490</v>
      </c>
    </row>
    <row r="188" spans="1:8" x14ac:dyDescent="0.25">
      <c r="A188" s="184"/>
      <c r="B188" s="184"/>
      <c r="C188" s="184"/>
      <c r="D188" s="185"/>
      <c r="E188" s="185"/>
      <c r="F188" s="185"/>
      <c r="G188" s="106"/>
    </row>
    <row r="189" spans="1:8" x14ac:dyDescent="0.25">
      <c r="A189" s="186"/>
      <c r="B189" s="187" t="s">
        <v>391</v>
      </c>
      <c r="C189" s="187"/>
      <c r="D189" s="188"/>
      <c r="E189" s="188"/>
      <c r="F189" s="188"/>
      <c r="G189" s="188"/>
      <c r="H189" s="189"/>
    </row>
    <row r="190" spans="1:8" x14ac:dyDescent="0.25">
      <c r="A190" s="186"/>
      <c r="B190" s="190" t="s">
        <v>392</v>
      </c>
      <c r="C190" s="190">
        <v>2016</v>
      </c>
      <c r="D190" s="190">
        <v>2017</v>
      </c>
      <c r="E190" s="190">
        <v>2018</v>
      </c>
      <c r="F190" s="190">
        <v>2019</v>
      </c>
      <c r="G190" s="190" t="s">
        <v>195</v>
      </c>
      <c r="H190" s="191" t="s">
        <v>393</v>
      </c>
    </row>
    <row r="191" spans="1:8" x14ac:dyDescent="0.25">
      <c r="A191" s="186"/>
      <c r="B191" s="188" t="s">
        <v>310</v>
      </c>
      <c r="C191" s="192">
        <f>C63-C75</f>
        <v>1.1800000000022237E-2</v>
      </c>
      <c r="D191" s="192">
        <f>D63-D75</f>
        <v>-6.5399999994042446E-4</v>
      </c>
      <c r="E191" s="192">
        <f>E63-E75</f>
        <v>1.1772999951631391E-4</v>
      </c>
      <c r="F191" s="192">
        <f>F63-F75</f>
        <v>2.1111852701949374E-3</v>
      </c>
      <c r="G191" s="193">
        <f>SUM(C191:F191)</f>
        <v>1.3374915269793064E-2</v>
      </c>
      <c r="H191" s="194"/>
    </row>
    <row r="192" spans="1:8" ht="47.25" x14ac:dyDescent="0.25">
      <c r="A192" s="186"/>
      <c r="B192" s="188" t="s">
        <v>394</v>
      </c>
      <c r="C192" s="192">
        <f>C58-C90</f>
        <v>9.4594271186440473</v>
      </c>
      <c r="D192" s="192">
        <f>D58-D90</f>
        <v>-9.9762711876394405E-5</v>
      </c>
      <c r="E192" s="192">
        <f>E58-E90</f>
        <v>1.7958813479879154E-5</v>
      </c>
      <c r="F192" s="192">
        <f>F58-F90</f>
        <v>3.2204521069800762E-4</v>
      </c>
      <c r="G192" s="193">
        <f>SUM(D192:F192)</f>
        <v>2.4024131230149237E-4</v>
      </c>
      <c r="H192" s="195" t="s">
        <v>395</v>
      </c>
    </row>
    <row r="193" spans="1:9" x14ac:dyDescent="0.25">
      <c r="A193" s="186"/>
      <c r="B193" s="188"/>
      <c r="C193" s="188"/>
      <c r="D193" s="188"/>
      <c r="E193" s="188"/>
      <c r="F193" s="188"/>
      <c r="G193" s="188"/>
      <c r="H193" s="194"/>
    </row>
    <row r="194" spans="1:9" x14ac:dyDescent="0.25">
      <c r="A194" s="196"/>
      <c r="B194" s="187" t="s">
        <v>396</v>
      </c>
      <c r="C194" s="187"/>
      <c r="D194" s="188"/>
      <c r="E194" s="188"/>
      <c r="F194" s="188"/>
      <c r="G194" s="188"/>
      <c r="H194" s="194"/>
    </row>
    <row r="195" spans="1:9" x14ac:dyDescent="0.25">
      <c r="A195" s="196"/>
      <c r="B195" s="190" t="s">
        <v>392</v>
      </c>
      <c r="C195" s="190">
        <v>2016</v>
      </c>
      <c r="D195" s="190">
        <v>2017</v>
      </c>
      <c r="E195" s="190">
        <v>2018</v>
      </c>
      <c r="F195" s="190">
        <v>2019</v>
      </c>
      <c r="G195" s="190" t="s">
        <v>195</v>
      </c>
      <c r="H195" s="191" t="s">
        <v>393</v>
      </c>
    </row>
    <row r="196" spans="1:9" x14ac:dyDescent="0.25">
      <c r="A196" s="196"/>
      <c r="B196" s="188" t="s">
        <v>292</v>
      </c>
      <c r="C196" s="197">
        <f>C48-C169</f>
        <v>0</v>
      </c>
      <c r="D196" s="197">
        <f>D48-D169</f>
        <v>0</v>
      </c>
      <c r="E196" s="197">
        <f>E48-E169</f>
        <v>0</v>
      </c>
      <c r="F196" s="197">
        <f>F48-F169</f>
        <v>0</v>
      </c>
      <c r="G196" s="198">
        <f>SUM(C196:F196)</f>
        <v>0</v>
      </c>
      <c r="H196" s="195"/>
    </row>
    <row r="197" spans="1:9" x14ac:dyDescent="0.25">
      <c r="A197" s="196"/>
      <c r="B197" s="188" t="s">
        <v>397</v>
      </c>
      <c r="C197" s="199">
        <f>C171-C53</f>
        <v>0</v>
      </c>
      <c r="D197" s="199">
        <f>D171-D53</f>
        <v>0</v>
      </c>
      <c r="E197" s="199">
        <f>E171-E53</f>
        <v>0</v>
      </c>
      <c r="F197" s="199">
        <f>F171-F53</f>
        <v>0</v>
      </c>
      <c r="G197" s="198">
        <f>SUM(D197:F197)</f>
        <v>0</v>
      </c>
      <c r="H197" s="195"/>
    </row>
    <row r="198" spans="1:9" x14ac:dyDescent="0.25">
      <c r="A198" s="196"/>
      <c r="B198" s="200" t="s">
        <v>398</v>
      </c>
      <c r="C198" s="199">
        <f>C237-C240</f>
        <v>536.44833082207924</v>
      </c>
      <c r="D198" s="199" t="e">
        <f>#N/A</f>
        <v>#N/A</v>
      </c>
      <c r="E198" s="199" t="e">
        <f>#N/A</f>
        <v>#N/A</v>
      </c>
      <c r="F198" s="199" t="e">
        <f>#N/A</f>
        <v>#N/A</v>
      </c>
      <c r="G198" s="198" t="e">
        <f>SUM(D198:F198)</f>
        <v>#N/A</v>
      </c>
      <c r="H198" s="396" t="s">
        <v>399</v>
      </c>
    </row>
    <row r="199" spans="1:9" x14ac:dyDescent="0.25">
      <c r="A199" s="196"/>
      <c r="B199" s="200" t="s">
        <v>400</v>
      </c>
      <c r="C199" s="199">
        <f>C238-C241</f>
        <v>303.46208836476376</v>
      </c>
      <c r="D199" s="199" t="e">
        <f>D238-D241</f>
        <v>#N/A</v>
      </c>
      <c r="E199" s="199" t="e">
        <f>#N/A</f>
        <v>#N/A</v>
      </c>
      <c r="F199" s="199" t="e">
        <f>#N/A</f>
        <v>#N/A</v>
      </c>
      <c r="G199" s="198" t="e">
        <f>SUM(D199:F199)</f>
        <v>#N/A</v>
      </c>
      <c r="H199" s="396"/>
    </row>
    <row r="200" spans="1:9" x14ac:dyDescent="0.25">
      <c r="A200" s="196"/>
      <c r="B200" s="188" t="s">
        <v>401</v>
      </c>
      <c r="C200" s="199">
        <f>C70-C183</f>
        <v>0</v>
      </c>
      <c r="D200" s="199">
        <f>D70-D183</f>
        <v>0</v>
      </c>
      <c r="E200" s="199">
        <f>E70-E183</f>
        <v>0</v>
      </c>
      <c r="F200" s="199">
        <f>F70-F183</f>
        <v>0</v>
      </c>
      <c r="G200" s="198">
        <f>SUM(D200:F200)</f>
        <v>0</v>
      </c>
      <c r="H200" s="201"/>
    </row>
    <row r="201" spans="1:9" x14ac:dyDescent="0.25">
      <c r="A201" s="196"/>
      <c r="B201" s="188"/>
      <c r="C201" s="188"/>
      <c r="D201" s="202"/>
      <c r="E201" s="202"/>
      <c r="F201" s="202"/>
      <c r="G201" s="203"/>
      <c r="H201" s="194"/>
    </row>
    <row r="202" spans="1:9" x14ac:dyDescent="0.25">
      <c r="A202" s="186"/>
      <c r="B202" s="187" t="s">
        <v>402</v>
      </c>
      <c r="C202" s="187"/>
      <c r="D202" s="188"/>
      <c r="E202" s="188"/>
      <c r="F202" s="188"/>
      <c r="G202" s="188"/>
      <c r="H202" s="194"/>
    </row>
    <row r="203" spans="1:9" x14ac:dyDescent="0.25">
      <c r="A203" s="186"/>
      <c r="B203" s="190" t="s">
        <v>392</v>
      </c>
      <c r="C203" s="190">
        <v>2016</v>
      </c>
      <c r="D203" s="190">
        <v>2017</v>
      </c>
      <c r="E203" s="190">
        <v>2018</v>
      </c>
      <c r="F203" s="190">
        <v>2019</v>
      </c>
      <c r="G203" s="190" t="s">
        <v>195</v>
      </c>
      <c r="H203" s="191" t="s">
        <v>393</v>
      </c>
    </row>
    <row r="204" spans="1:9" x14ac:dyDescent="0.25">
      <c r="A204" s="186"/>
      <c r="B204" s="188" t="s">
        <v>345</v>
      </c>
      <c r="C204" s="199">
        <f>C125-C4</f>
        <v>-224.45218664173444</v>
      </c>
      <c r="D204" s="199">
        <f>D125-D4</f>
        <v>-240.00741193831641</v>
      </c>
      <c r="E204" s="199">
        <f>E125-E4</f>
        <v>-241.89547341808429</v>
      </c>
      <c r="F204" s="199">
        <f>F125-F4</f>
        <v>-251.63285754971025</v>
      </c>
      <c r="G204" s="198" t="e">
        <f>#N/A</f>
        <v>#N/A</v>
      </c>
      <c r="H204" s="397" t="s">
        <v>403</v>
      </c>
    </row>
    <row r="205" spans="1:9" x14ac:dyDescent="0.25">
      <c r="A205" s="186"/>
      <c r="B205" s="188" t="s">
        <v>351</v>
      </c>
      <c r="C205" s="199">
        <f>C131-C8</f>
        <v>-270.30373199999985</v>
      </c>
      <c r="D205" s="199">
        <f>D131-D8</f>
        <v>-288.54210599999988</v>
      </c>
      <c r="E205" s="199">
        <f>E131-E8</f>
        <v>-291.10388399999988</v>
      </c>
      <c r="F205" s="199">
        <f>F131-F8</f>
        <v>-298.31975999999986</v>
      </c>
      <c r="G205" s="198" t="e">
        <f>#N/A</f>
        <v>#N/A</v>
      </c>
      <c r="H205" s="397"/>
    </row>
    <row r="206" spans="1:9" x14ac:dyDescent="0.25">
      <c r="A206" s="186"/>
      <c r="B206" s="188" t="s">
        <v>354</v>
      </c>
      <c r="C206" s="199">
        <f>C139-C22</f>
        <v>45.851545358265412</v>
      </c>
      <c r="D206" s="199">
        <f>D139-D22</f>
        <v>48.534694061683467</v>
      </c>
      <c r="E206" s="199">
        <f>E139-E22</f>
        <v>49.208410581915587</v>
      </c>
      <c r="F206" s="199">
        <f>F139-F22</f>
        <v>46.686902450289608</v>
      </c>
      <c r="G206" s="198" t="e">
        <f>#N/A</f>
        <v>#N/A</v>
      </c>
      <c r="H206" s="397"/>
    </row>
    <row r="207" spans="1:9" x14ac:dyDescent="0.25">
      <c r="A207" s="186"/>
      <c r="B207" s="188" t="s">
        <v>355</v>
      </c>
      <c r="C207" s="199">
        <f>C140-C28</f>
        <v>-40.314687774850881</v>
      </c>
      <c r="D207" s="199">
        <f>D140-D28</f>
        <v>132.11620969997443</v>
      </c>
      <c r="E207" s="199">
        <f>E140-E28</f>
        <v>171.96989354488619</v>
      </c>
      <c r="F207" s="199">
        <f>F140-F28</f>
        <v>199.49066877985499</v>
      </c>
      <c r="G207" s="198" t="e">
        <f>#N/A</f>
        <v>#N/A</v>
      </c>
      <c r="H207" s="397"/>
      <c r="I207" s="106"/>
    </row>
    <row r="208" spans="1:9" x14ac:dyDescent="0.25">
      <c r="A208" s="186"/>
      <c r="B208" s="188" t="s">
        <v>272</v>
      </c>
      <c r="C208" s="199">
        <f>C141-C30</f>
        <v>0</v>
      </c>
      <c r="D208" s="199">
        <f>D141-D30</f>
        <v>0</v>
      </c>
      <c r="E208" s="199">
        <f>E141-E30</f>
        <v>0</v>
      </c>
      <c r="F208" s="199">
        <f>F141-F30</f>
        <v>0</v>
      </c>
      <c r="G208" s="198" t="e">
        <f>#N/A</f>
        <v>#N/A</v>
      </c>
      <c r="H208" s="195"/>
    </row>
    <row r="209" spans="1:8" x14ac:dyDescent="0.25">
      <c r="A209" s="186"/>
      <c r="B209" s="188" t="s">
        <v>276</v>
      </c>
      <c r="C209" s="199">
        <f>C142-C32</f>
        <v>0</v>
      </c>
      <c r="D209" s="199" t="e">
        <f>#N/A</f>
        <v>#N/A</v>
      </c>
      <c r="E209" s="199" t="e">
        <f>#N/A</f>
        <v>#N/A</v>
      </c>
      <c r="F209" s="199" t="e">
        <f>#N/A</f>
        <v>#N/A</v>
      </c>
      <c r="G209" s="198" t="e">
        <f>#N/A</f>
        <v>#N/A</v>
      </c>
      <c r="H209" s="195"/>
    </row>
    <row r="210" spans="1:8" x14ac:dyDescent="0.25">
      <c r="A210" s="186"/>
      <c r="B210" s="188" t="s">
        <v>357</v>
      </c>
      <c r="C210" s="199">
        <f>C143-C33</f>
        <v>2.8421709430404007E-14</v>
      </c>
      <c r="D210" s="199" t="e">
        <f>#N/A</f>
        <v>#N/A</v>
      </c>
      <c r="E210" s="199" t="e">
        <f>#N/A</f>
        <v>#N/A</v>
      </c>
      <c r="F210" s="199" t="e">
        <f>#N/A</f>
        <v>#N/A</v>
      </c>
      <c r="G210" s="198" t="e">
        <f>#N/A</f>
        <v>#N/A</v>
      </c>
      <c r="H210" s="204"/>
    </row>
    <row r="211" spans="1:8" x14ac:dyDescent="0.25">
      <c r="A211" s="186"/>
      <c r="B211" s="188"/>
      <c r="C211" s="188"/>
      <c r="D211" s="188"/>
      <c r="E211" s="188"/>
      <c r="F211" s="188"/>
      <c r="G211" s="188"/>
      <c r="H211" s="204"/>
    </row>
    <row r="212" spans="1:8" x14ac:dyDescent="0.25">
      <c r="A212" s="186"/>
      <c r="B212" s="187" t="s">
        <v>404</v>
      </c>
      <c r="C212" s="187"/>
      <c r="D212" s="188"/>
      <c r="E212" s="188"/>
      <c r="F212" s="188"/>
      <c r="G212" s="188"/>
      <c r="H212" s="204"/>
    </row>
    <row r="213" spans="1:8" x14ac:dyDescent="0.25">
      <c r="A213" s="196"/>
      <c r="B213" s="190" t="s">
        <v>392</v>
      </c>
      <c r="C213" s="190">
        <v>2016</v>
      </c>
      <c r="D213" s="190">
        <v>2017</v>
      </c>
      <c r="E213" s="190">
        <v>2018</v>
      </c>
      <c r="F213" s="190">
        <v>2019</v>
      </c>
      <c r="G213" s="190" t="s">
        <v>195</v>
      </c>
      <c r="H213" s="191" t="s">
        <v>393</v>
      </c>
    </row>
    <row r="214" spans="1:8" x14ac:dyDescent="0.25">
      <c r="A214" s="196"/>
      <c r="B214" s="188" t="s">
        <v>405</v>
      </c>
      <c r="C214" s="199">
        <f>C164-C75</f>
        <v>1.1800000000022237E-2</v>
      </c>
      <c r="D214" s="199">
        <f>D164-D75</f>
        <v>-6.5399999994042446E-4</v>
      </c>
      <c r="E214" s="199">
        <f>E164-E75</f>
        <v>1.1772999951631391E-4</v>
      </c>
      <c r="F214" s="199">
        <f>F164-F75</f>
        <v>2.1111852701949374E-3</v>
      </c>
      <c r="G214" s="198">
        <f>SUM(C214:F214)</f>
        <v>1.3374915269793064E-2</v>
      </c>
      <c r="H214" s="204"/>
    </row>
    <row r="215" spans="1:8" x14ac:dyDescent="0.25">
      <c r="A215" s="196"/>
      <c r="B215" s="200" t="s">
        <v>406</v>
      </c>
      <c r="C215" s="205">
        <f>C239-C67</f>
        <v>0</v>
      </c>
      <c r="D215" s="205" t="e">
        <f>D239-D67</f>
        <v>#N/A</v>
      </c>
      <c r="E215" s="205" t="e">
        <f>E239-E67</f>
        <v>#N/A</v>
      </c>
      <c r="F215" s="205" t="e">
        <f>F239-F67</f>
        <v>#N/A</v>
      </c>
      <c r="G215" s="198" t="e">
        <f>SUM(D215:F215)</f>
        <v>#N/A</v>
      </c>
      <c r="H215" s="204"/>
    </row>
    <row r="216" spans="1:8" x14ac:dyDescent="0.25">
      <c r="A216" s="196"/>
      <c r="B216" s="206" t="s">
        <v>407</v>
      </c>
      <c r="C216" s="199">
        <f>(C182-C183)-(C171-C167)</f>
        <v>0</v>
      </c>
      <c r="D216" s="199">
        <f>(D182-D183)-(D171-D167)</f>
        <v>0</v>
      </c>
      <c r="E216" s="199">
        <f>(E182-E183)-(E171-E167)</f>
        <v>0</v>
      </c>
      <c r="F216" s="199">
        <f>(F182-F183)-(F171-F167)</f>
        <v>0</v>
      </c>
      <c r="G216" s="198">
        <f>SUM(D216:F216)</f>
        <v>0</v>
      </c>
      <c r="H216" s="195"/>
    </row>
    <row r="217" spans="1:8" x14ac:dyDescent="0.25">
      <c r="A217" s="196"/>
      <c r="B217" s="188"/>
      <c r="C217" s="188"/>
      <c r="D217" s="207"/>
      <c r="E217" s="207"/>
      <c r="F217" s="207"/>
      <c r="G217" s="188"/>
      <c r="H217" s="204"/>
    </row>
    <row r="218" spans="1:8" x14ac:dyDescent="0.25">
      <c r="A218" s="196"/>
      <c r="B218" s="187" t="s">
        <v>408</v>
      </c>
      <c r="C218" s="187"/>
      <c r="D218" s="188"/>
      <c r="E218" s="188"/>
      <c r="F218" s="188"/>
      <c r="G218" s="188"/>
      <c r="H218" s="204"/>
    </row>
    <row r="219" spans="1:8" x14ac:dyDescent="0.25">
      <c r="A219" s="196"/>
      <c r="B219" s="190" t="s">
        <v>392</v>
      </c>
      <c r="C219" s="190">
        <v>2016</v>
      </c>
      <c r="D219" s="190">
        <v>2017</v>
      </c>
      <c r="E219" s="190">
        <v>2018</v>
      </c>
      <c r="F219" s="190">
        <v>2019</v>
      </c>
      <c r="G219" s="190" t="s">
        <v>195</v>
      </c>
      <c r="H219" s="191" t="s">
        <v>393</v>
      </c>
    </row>
    <row r="220" spans="1:8" x14ac:dyDescent="0.25">
      <c r="A220" s="196"/>
      <c r="B220" s="208" t="s">
        <v>409</v>
      </c>
      <c r="C220" s="209">
        <f>C15</f>
        <v>182.08791219999995</v>
      </c>
      <c r="D220" s="209">
        <f>D15</f>
        <v>248.444089961</v>
      </c>
      <c r="E220" s="209">
        <f>E15</f>
        <v>249.09855200399997</v>
      </c>
      <c r="F220" s="209">
        <f>F15</f>
        <v>247.51132661719998</v>
      </c>
      <c r="G220" s="209">
        <f>SUM(C220:F220)</f>
        <v>927.14188078219991</v>
      </c>
    </row>
    <row r="221" spans="1:8" x14ac:dyDescent="0.25">
      <c r="A221" s="196"/>
      <c r="B221" s="206" t="s">
        <v>410</v>
      </c>
      <c r="C221" s="192">
        <f>C33</f>
        <v>-1.2522714238188826</v>
      </c>
      <c r="D221" s="192">
        <f>D33</f>
        <v>23.245769197900064</v>
      </c>
      <c r="E221" s="192">
        <f>E33</f>
        <v>56.010415323837421</v>
      </c>
      <c r="F221" s="192">
        <f>F33</f>
        <v>90.383928432566563</v>
      </c>
      <c r="G221" s="192">
        <f>SUM(C221:F221)</f>
        <v>168.38784153048516</v>
      </c>
      <c r="H221" s="204"/>
    </row>
    <row r="222" spans="1:8" x14ac:dyDescent="0.25">
      <c r="A222" s="196"/>
      <c r="B222" s="208" t="s">
        <v>411</v>
      </c>
      <c r="C222" s="209">
        <f>C38</f>
        <v>0</v>
      </c>
      <c r="D222" s="209">
        <f>D38</f>
        <v>0</v>
      </c>
      <c r="E222" s="210">
        <f>E38</f>
        <v>0.23245779800536015</v>
      </c>
      <c r="F222" s="210">
        <f>F38</f>
        <v>0.56010435361397781</v>
      </c>
      <c r="G222" s="209">
        <f>SUM(C222:F222)</f>
        <v>0.79256215161933796</v>
      </c>
    </row>
    <row r="223" spans="1:8" ht="47.25" x14ac:dyDescent="0.25">
      <c r="A223" s="196"/>
      <c r="B223" s="211" t="s">
        <v>412</v>
      </c>
      <c r="C223" s="212">
        <f>C222/C221</f>
        <v>0</v>
      </c>
      <c r="D223" s="212">
        <f>D222/D221</f>
        <v>0</v>
      </c>
      <c r="E223" s="212">
        <f>E222/E221</f>
        <v>4.1502602089513278E-3</v>
      </c>
      <c r="F223" s="212">
        <f>F222/F221</f>
        <v>6.196946330252277E-3</v>
      </c>
      <c r="G223" s="212">
        <f>G222/G221</f>
        <v>4.7067659067050365E-3</v>
      </c>
      <c r="H223" s="195" t="s">
        <v>413</v>
      </c>
    </row>
    <row r="224" spans="1:8" x14ac:dyDescent="0.25">
      <c r="A224" s="196"/>
      <c r="B224" s="208" t="s">
        <v>414</v>
      </c>
      <c r="C224" s="209">
        <f>C181</f>
        <v>79.32396158499958</v>
      </c>
      <c r="D224" s="209">
        <f>D181</f>
        <v>51.642730891390244</v>
      </c>
      <c r="E224" s="209">
        <f>E181</f>
        <v>26.197978036127296</v>
      </c>
      <c r="F224" s="209">
        <f>F181</f>
        <v>24.409356775901813</v>
      </c>
      <c r="G224" s="209"/>
      <c r="H224" s="204"/>
    </row>
    <row r="225" spans="1:8" x14ac:dyDescent="0.25">
      <c r="A225" s="196"/>
      <c r="B225" s="206" t="s">
        <v>7</v>
      </c>
      <c r="C225" s="199">
        <f>C224+C242</f>
        <v>51.642730891389903</v>
      </c>
      <c r="D225" s="199">
        <f>D224+D242</f>
        <v>26.197978036127239</v>
      </c>
      <c r="E225" s="199">
        <f>E224+E242</f>
        <v>24.409356775901841</v>
      </c>
      <c r="F225" s="199">
        <f>F224+F242</f>
        <v>39.022842142238403</v>
      </c>
      <c r="G225" s="213"/>
      <c r="H225" s="204"/>
    </row>
    <row r="226" spans="1:8" x14ac:dyDescent="0.25">
      <c r="A226" s="196"/>
      <c r="B226" s="214" t="s">
        <v>415</v>
      </c>
      <c r="C226" s="192">
        <f>C225-D224</f>
        <v>-3.4106051316484809E-13</v>
      </c>
      <c r="D226" s="192">
        <f>D225-E224</f>
        <v>-5.6843418860808015E-14</v>
      </c>
      <c r="E226" s="192">
        <f>E225-F224</f>
        <v>2.8421709430404007E-14</v>
      </c>
      <c r="F226" s="192"/>
      <c r="G226" s="192"/>
      <c r="H226" s="195"/>
    </row>
    <row r="227" spans="1:8" x14ac:dyDescent="0.25">
      <c r="A227" s="196"/>
      <c r="B227" s="208" t="s">
        <v>416</v>
      </c>
      <c r="C227" s="209">
        <f>C161</f>
        <v>100.62336666639021</v>
      </c>
      <c r="D227" s="209">
        <f>D161</f>
        <v>285.71524714473708</v>
      </c>
      <c r="E227" s="209">
        <f>E161</f>
        <v>292.73983653777987</v>
      </c>
      <c r="F227" s="209">
        <f>F161</f>
        <v>272.90794316434176</v>
      </c>
      <c r="G227" s="215"/>
      <c r="H227" s="204"/>
    </row>
    <row r="228" spans="1:8" x14ac:dyDescent="0.25">
      <c r="A228" s="196"/>
      <c r="B228" s="206" t="s">
        <v>417</v>
      </c>
      <c r="C228" s="199">
        <f>C165</f>
        <v>-100.30459736000003</v>
      </c>
      <c r="D228" s="199">
        <f>D165</f>
        <v>-288.16000000000003</v>
      </c>
      <c r="E228" s="199">
        <f>E165</f>
        <v>-239.29599999999999</v>
      </c>
      <c r="F228" s="199">
        <f>F165</f>
        <v>-139.06199999999998</v>
      </c>
      <c r="G228" s="215"/>
      <c r="H228" s="204"/>
    </row>
    <row r="229" spans="1:8" x14ac:dyDescent="0.25">
      <c r="A229" s="196"/>
      <c r="B229" s="206" t="s">
        <v>418</v>
      </c>
      <c r="C229" s="199">
        <f>C172</f>
        <v>-28</v>
      </c>
      <c r="D229" s="199">
        <f>D172</f>
        <v>-23</v>
      </c>
      <c r="E229" s="199">
        <f>E172</f>
        <v>-55.232457798005356</v>
      </c>
      <c r="F229" s="199">
        <f>F172</f>
        <v>-119.23245779800537</v>
      </c>
      <c r="G229" s="215"/>
      <c r="H229" s="204"/>
    </row>
    <row r="230" spans="1:8" x14ac:dyDescent="0.25">
      <c r="A230" s="196"/>
      <c r="B230" s="211" t="s">
        <v>419</v>
      </c>
      <c r="C230" s="199">
        <f>C171</f>
        <v>90</v>
      </c>
      <c r="D230" s="199">
        <f>D171</f>
        <v>23</v>
      </c>
      <c r="E230" s="199">
        <f>E171</f>
        <v>55</v>
      </c>
      <c r="F230" s="199">
        <f>F171</f>
        <v>119</v>
      </c>
      <c r="G230" s="215"/>
      <c r="H230" s="204"/>
    </row>
    <row r="231" spans="1:8" x14ac:dyDescent="0.25">
      <c r="A231" s="196"/>
      <c r="B231" s="211" t="s">
        <v>420</v>
      </c>
      <c r="C231" s="199">
        <f>C55</f>
        <v>90</v>
      </c>
      <c r="D231" s="199">
        <f>D55</f>
        <v>23</v>
      </c>
      <c r="E231" s="199">
        <f>E55</f>
        <v>55</v>
      </c>
      <c r="F231" s="199">
        <f>F55</f>
        <v>119</v>
      </c>
      <c r="G231" s="215"/>
      <c r="H231" s="204"/>
    </row>
    <row r="232" spans="1:8" x14ac:dyDescent="0.25">
      <c r="A232" s="196"/>
      <c r="B232" s="211" t="s">
        <v>421</v>
      </c>
      <c r="C232" s="199">
        <f>C169</f>
        <v>62</v>
      </c>
      <c r="D232" s="199">
        <f>D169</f>
        <v>0</v>
      </c>
      <c r="E232" s="199">
        <f>E169</f>
        <v>0</v>
      </c>
      <c r="F232" s="199">
        <f>F169</f>
        <v>0</v>
      </c>
      <c r="G232" s="215"/>
      <c r="H232" s="204"/>
    </row>
    <row r="233" spans="1:8" x14ac:dyDescent="0.25">
      <c r="A233" s="196"/>
      <c r="B233" s="211" t="s">
        <v>420</v>
      </c>
      <c r="C233" s="199">
        <f>C50</f>
        <v>62</v>
      </c>
      <c r="D233" s="199">
        <f>D50</f>
        <v>0</v>
      </c>
      <c r="E233" s="199">
        <f>E50</f>
        <v>0</v>
      </c>
      <c r="F233" s="199">
        <f>F50</f>
        <v>0</v>
      </c>
      <c r="G233" s="188"/>
      <c r="H233" s="204"/>
    </row>
    <row r="234" spans="1:8" x14ac:dyDescent="0.25">
      <c r="A234" s="196"/>
      <c r="B234" s="206" t="s">
        <v>422</v>
      </c>
      <c r="C234" s="199">
        <f>C70</f>
        <v>197</v>
      </c>
      <c r="D234" s="199">
        <f>D70</f>
        <v>174</v>
      </c>
      <c r="E234" s="199">
        <f>E70</f>
        <v>119</v>
      </c>
      <c r="F234" s="199">
        <f>F70</f>
        <v>0</v>
      </c>
      <c r="G234" s="215"/>
      <c r="H234" s="204"/>
    </row>
    <row r="235" spans="1:8" x14ac:dyDescent="0.25">
      <c r="A235" s="196"/>
      <c r="B235" s="206" t="s">
        <v>423</v>
      </c>
      <c r="C235" s="199">
        <f>C69</f>
        <v>181.36294324646462</v>
      </c>
      <c r="D235" s="199">
        <f>D69</f>
        <v>260.12147852067005</v>
      </c>
      <c r="E235" s="199">
        <f>E69</f>
        <v>298.57335838684719</v>
      </c>
      <c r="F235" s="199">
        <f>F69</f>
        <v>333.16489628901678</v>
      </c>
      <c r="G235" s="213"/>
      <c r="H235" s="204"/>
    </row>
    <row r="236" spans="1:8" x14ac:dyDescent="0.25">
      <c r="A236" s="196"/>
      <c r="B236" s="216" t="s">
        <v>424</v>
      </c>
      <c r="C236" s="192">
        <f>C234/C235</f>
        <v>1.0862196900514858</v>
      </c>
      <c r="D236" s="192">
        <f>D234/D235</f>
        <v>0.66891823385577687</v>
      </c>
      <c r="E236" s="192">
        <f>E234/E235</f>
        <v>0.39856201719718543</v>
      </c>
      <c r="F236" s="192">
        <f>F234/F235</f>
        <v>0</v>
      </c>
      <c r="G236" s="188"/>
      <c r="H236" s="204"/>
    </row>
    <row r="237" spans="1:8" x14ac:dyDescent="0.25">
      <c r="A237" s="196"/>
      <c r="B237" s="206" t="s">
        <v>425</v>
      </c>
      <c r="C237" s="199">
        <f>C65</f>
        <v>2475.4546985041843</v>
      </c>
      <c r="D237" s="199" t="e">
        <f>#N/A</f>
        <v>#N/A</v>
      </c>
      <c r="E237" s="199" t="e">
        <f>#N/A</f>
        <v>#N/A</v>
      </c>
      <c r="F237" s="199" t="e">
        <f>#N/A</f>
        <v>#N/A</v>
      </c>
      <c r="G237" s="213"/>
      <c r="H237" s="217"/>
    </row>
    <row r="238" spans="1:8" x14ac:dyDescent="0.25">
      <c r="A238" s="196"/>
      <c r="B238" s="206" t="s">
        <v>426</v>
      </c>
      <c r="C238" s="199">
        <f>C66</f>
        <v>2270.1496867404785</v>
      </c>
      <c r="D238" s="199" t="e">
        <f>#N/A</f>
        <v>#N/A</v>
      </c>
      <c r="E238" s="199" t="e">
        <f>#N/A</f>
        <v>#N/A</v>
      </c>
      <c r="F238" s="199" t="e">
        <f>#N/A</f>
        <v>#N/A</v>
      </c>
      <c r="G238" s="218"/>
      <c r="H238" s="217"/>
    </row>
    <row r="239" spans="1:8" x14ac:dyDescent="0.25">
      <c r="A239" s="196"/>
      <c r="B239" s="216" t="s">
        <v>180</v>
      </c>
      <c r="C239" s="198">
        <f>C237-C238</f>
        <v>205.30501176370581</v>
      </c>
      <c r="D239" s="198" t="e">
        <f>D237-D238</f>
        <v>#N/A</v>
      </c>
      <c r="E239" s="198" t="e">
        <f>E237-E238</f>
        <v>#N/A</v>
      </c>
      <c r="F239" s="198" t="e">
        <f>F237-F238</f>
        <v>#N/A</v>
      </c>
      <c r="G239" s="188"/>
      <c r="H239" s="204"/>
    </row>
    <row r="240" spans="1:8" x14ac:dyDescent="0.25">
      <c r="A240" s="196"/>
      <c r="B240" s="206" t="s">
        <v>427</v>
      </c>
      <c r="C240" s="199">
        <f>C146+C163+C167</f>
        <v>1939.0063676821051</v>
      </c>
      <c r="D240" s="199">
        <f>D146+D163+D167</f>
        <v>1915.909030155856</v>
      </c>
      <c r="E240" s="199">
        <f>E146+E163+E167</f>
        <v>1948.2591186732507</v>
      </c>
      <c r="F240" s="199">
        <f>F146+F163+F167</f>
        <v>2025.269242961283</v>
      </c>
      <c r="G240" s="188"/>
      <c r="H240" s="204"/>
    </row>
    <row r="241" spans="1:8" x14ac:dyDescent="0.25">
      <c r="A241" s="196"/>
      <c r="B241" s="206" t="s">
        <v>428</v>
      </c>
      <c r="C241" s="199">
        <f>C152+C164+C170</f>
        <v>1966.6875983757147</v>
      </c>
      <c r="D241" s="199">
        <f>D152+D164+D170</f>
        <v>1941.353783011119</v>
      </c>
      <c r="E241" s="199">
        <f>E152+E164+E170</f>
        <v>1950.0477399334761</v>
      </c>
      <c r="F241" s="199">
        <f>F152+F164+F170</f>
        <v>2010.6557575949464</v>
      </c>
      <c r="G241" s="188"/>
      <c r="H241" s="204"/>
    </row>
    <row r="242" spans="1:8" x14ac:dyDescent="0.25">
      <c r="A242" s="196"/>
      <c r="B242" s="216" t="s">
        <v>180</v>
      </c>
      <c r="C242" s="198">
        <f>C240-C241</f>
        <v>-27.681230693609677</v>
      </c>
      <c r="D242" s="198">
        <f>D240-D241</f>
        <v>-25.444752855263005</v>
      </c>
      <c r="E242" s="198">
        <f>E240-E241</f>
        <v>-1.7886212602254545</v>
      </c>
      <c r="F242" s="198">
        <f>F240-F241</f>
        <v>14.61348536633659</v>
      </c>
      <c r="G242" s="188"/>
      <c r="H242" s="204"/>
    </row>
    <row r="243" spans="1:8" x14ac:dyDescent="0.25">
      <c r="A243" s="196"/>
      <c r="B243" s="216" t="s">
        <v>429</v>
      </c>
      <c r="C243" s="192">
        <f>C242-SUM(C227:C229)</f>
        <v>1.4210854715202004E-13</v>
      </c>
      <c r="D243" s="192">
        <f>D242-SUM(D227:D229)</f>
        <v>-5.6843418860808015E-14</v>
      </c>
      <c r="E243" s="192">
        <f>E242-SUM(E227:E229)</f>
        <v>2.8421709430404007E-14</v>
      </c>
      <c r="F243" s="192">
        <f>F242-SUM(F227:F229)</f>
        <v>1.8474111129762605E-13</v>
      </c>
      <c r="G243" s="192"/>
      <c r="H243" s="204"/>
    </row>
    <row r="244" spans="1:8" x14ac:dyDescent="0.25">
      <c r="A244" s="196"/>
      <c r="B244" s="216" t="s">
        <v>430</v>
      </c>
      <c r="C244" s="192">
        <f>C242-C239</f>
        <v>-232.98624245731548</v>
      </c>
      <c r="D244" s="192" t="e">
        <f>D242-D239</f>
        <v>#N/A</v>
      </c>
      <c r="E244" s="192" t="e">
        <f>E242-E239</f>
        <v>#N/A</v>
      </c>
      <c r="F244" s="192" t="e">
        <f>F242-F239</f>
        <v>#N/A</v>
      </c>
      <c r="G244" s="192"/>
      <c r="H244" s="204"/>
    </row>
    <row r="245" spans="1:8" x14ac:dyDescent="0.25">
      <c r="A245" s="196"/>
      <c r="B245" s="216"/>
      <c r="C245" s="216"/>
      <c r="D245" s="199"/>
      <c r="E245" s="199"/>
      <c r="F245" s="199"/>
      <c r="G245" s="188"/>
      <c r="H245" s="204"/>
    </row>
    <row r="246" spans="1:8" x14ac:dyDescent="0.25">
      <c r="A246" s="196"/>
      <c r="B246" s="216" t="s">
        <v>431</v>
      </c>
      <c r="C246" s="216"/>
      <c r="D246" s="206"/>
      <c r="E246" s="206"/>
      <c r="F246" s="206"/>
      <c r="G246" s="188"/>
      <c r="H246" s="204"/>
    </row>
    <row r="247" spans="1:8" x14ac:dyDescent="0.25">
      <c r="A247" s="196"/>
      <c r="B247" s="219" t="s">
        <v>392</v>
      </c>
      <c r="C247" s="190">
        <v>2016</v>
      </c>
      <c r="D247" s="190">
        <v>2017</v>
      </c>
      <c r="E247" s="190">
        <v>2018</v>
      </c>
      <c r="F247" s="190">
        <v>2019</v>
      </c>
      <c r="G247" s="190" t="s">
        <v>195</v>
      </c>
      <c r="H247" s="191" t="s">
        <v>393</v>
      </c>
    </row>
    <row r="248" spans="1:8" ht="17.25" x14ac:dyDescent="0.25">
      <c r="A248" s="196"/>
      <c r="B248" s="220" t="s">
        <v>432</v>
      </c>
      <c r="C248" s="221">
        <f>C220+C221-C260</f>
        <v>180.83564077618107</v>
      </c>
      <c r="D248" s="221">
        <f>D220+D221-D222</f>
        <v>271.68985915890005</v>
      </c>
      <c r="E248" s="221">
        <f>E220+E221-E222</f>
        <v>304.87650952983199</v>
      </c>
      <c r="F248" s="221">
        <f>F220+F221-F222</f>
        <v>337.3351506961526</v>
      </c>
      <c r="G248" s="213">
        <f>SUM(C248:F248)</f>
        <v>1094.7371601610657</v>
      </c>
      <c r="H248" s="204"/>
    </row>
    <row r="249" spans="1:8" x14ac:dyDescent="0.25">
      <c r="A249" s="196"/>
      <c r="B249" s="206" t="s">
        <v>433</v>
      </c>
      <c r="C249" s="199">
        <f>C220+C221-C260</f>
        <v>180.83564077618107</v>
      </c>
      <c r="D249" s="199">
        <f>D220+0.75*D221</f>
        <v>265.87841685942504</v>
      </c>
      <c r="E249" s="199">
        <f>E220+0.75*E221</f>
        <v>291.10636349687803</v>
      </c>
      <c r="F249" s="199">
        <f>F220+0.75*F221</f>
        <v>315.29927294162491</v>
      </c>
      <c r="G249" s="213" t="e">
        <f>#N/A</f>
        <v>#N/A</v>
      </c>
      <c r="H249" s="204"/>
    </row>
    <row r="250" spans="1:8" ht="17.25" x14ac:dyDescent="0.25">
      <c r="A250" s="196"/>
      <c r="B250" s="220" t="s">
        <v>434</v>
      </c>
      <c r="C250" s="221">
        <f>C224+C227-C260</f>
        <v>179.94732825138979</v>
      </c>
      <c r="D250" s="221">
        <f>D224+D227-C222</f>
        <v>337.35797803612729</v>
      </c>
      <c r="E250" s="221">
        <f>E224+E227-D222</f>
        <v>318.93781457390719</v>
      </c>
      <c r="F250" s="221">
        <f>F224+F227-E222</f>
        <v>297.08484214223819</v>
      </c>
      <c r="G250" s="213" t="e">
        <f>#N/A</f>
        <v>#N/A</v>
      </c>
      <c r="H250" s="204"/>
    </row>
    <row r="251" spans="1:8" x14ac:dyDescent="0.25">
      <c r="A251" s="196"/>
      <c r="B251" s="206" t="s">
        <v>435</v>
      </c>
      <c r="C251" s="199">
        <f>C224+C227-C260</f>
        <v>179.94732825138979</v>
      </c>
      <c r="D251" s="199">
        <f>D224+D227-C221*0.25</f>
        <v>337.67104589208202</v>
      </c>
      <c r="E251" s="199">
        <f>E224+E227-D221*0.25</f>
        <v>313.12637227443219</v>
      </c>
      <c r="F251" s="199">
        <f>F224+F227-E221*0.25</f>
        <v>283.31469610928423</v>
      </c>
      <c r="G251" s="213" t="e">
        <f>#N/A</f>
        <v>#N/A</v>
      </c>
      <c r="H251" s="204"/>
    </row>
    <row r="252" spans="1:8" x14ac:dyDescent="0.25">
      <c r="A252" s="196"/>
      <c r="B252" s="222" t="s">
        <v>436</v>
      </c>
      <c r="C252" s="223">
        <f>C250-C251</f>
        <v>0</v>
      </c>
      <c r="D252" s="223">
        <f>D250-D251</f>
        <v>-0.31306785595472775</v>
      </c>
      <c r="E252" s="223">
        <f>E250-E251</f>
        <v>5.8114422994750043</v>
      </c>
      <c r="F252" s="223">
        <f>F250-F251</f>
        <v>13.77014603295396</v>
      </c>
      <c r="G252" s="213" t="e">
        <f>#N/A</f>
        <v>#N/A</v>
      </c>
      <c r="H252" s="204"/>
    </row>
    <row r="253" spans="1:8" ht="17.25" x14ac:dyDescent="0.25">
      <c r="A253" s="196"/>
      <c r="B253" s="220" t="s">
        <v>437</v>
      </c>
      <c r="C253" s="221">
        <f>C224+C227-C260-(C230-C231)+(C232-C233)</f>
        <v>179.94732825138979</v>
      </c>
      <c r="D253" s="221">
        <f>D224+D227-C222-(D230-D231)+(D232-D233)</f>
        <v>337.35797803612729</v>
      </c>
      <c r="E253" s="221">
        <f>E224+E227-D222-(E230-E231)+(E232-E233)</f>
        <v>318.93781457390719</v>
      </c>
      <c r="F253" s="221">
        <f>F224+F227-E222-(F230-F231)+(F232-F233)</f>
        <v>297.08484214223819</v>
      </c>
      <c r="G253" s="213" t="e">
        <f>#N/A</f>
        <v>#N/A</v>
      </c>
      <c r="H253" s="204"/>
    </row>
    <row r="254" spans="1:8" ht="18.75" x14ac:dyDescent="0.25">
      <c r="A254" s="196"/>
      <c r="B254" s="224" t="s">
        <v>435</v>
      </c>
      <c r="C254" s="225">
        <f>C224+C227-C260-(C230-C231)+(C232-C233)</f>
        <v>179.94732825138979</v>
      </c>
      <c r="D254" s="225">
        <f>D224+D227-0.25*C221-(D230-D231)+(D232-D233)</f>
        <v>337.67104589208202</v>
      </c>
      <c r="E254" s="225">
        <f>E224+E227-0.25*D221-(E230-E231)+(E232-E233)</f>
        <v>313.12637227443219</v>
      </c>
      <c r="F254" s="225">
        <f>F224+F227-0.25*E221-(F230-F231)+(F232-F233)</f>
        <v>283.31469610928423</v>
      </c>
      <c r="G254" s="213" t="e">
        <f>#N/A</f>
        <v>#N/A</v>
      </c>
    </row>
    <row r="255" spans="1:8" x14ac:dyDescent="0.25">
      <c r="A255" s="196"/>
      <c r="B255" s="222" t="s">
        <v>436</v>
      </c>
      <c r="C255" s="223">
        <f>C253-C250</f>
        <v>0</v>
      </c>
      <c r="D255" s="223">
        <f>D253-D250</f>
        <v>0</v>
      </c>
      <c r="E255" s="223">
        <f>E253-E250</f>
        <v>0</v>
      </c>
      <c r="F255" s="223">
        <f>F253-F250</f>
        <v>0</v>
      </c>
      <c r="G255" s="213" t="e">
        <f>#N/A</f>
        <v>#N/A</v>
      </c>
      <c r="H255" s="204"/>
    </row>
    <row r="256" spans="1:8" ht="17.25" x14ac:dyDescent="0.25">
      <c r="A256" s="186"/>
      <c r="B256" s="220" t="s">
        <v>438</v>
      </c>
      <c r="C256" s="221">
        <f>MAX(C253,C248)</f>
        <v>180.83564077618107</v>
      </c>
      <c r="D256" s="221">
        <f>MAX(D253,D248)</f>
        <v>337.35797803612729</v>
      </c>
      <c r="E256" s="221">
        <f>MAX(E253,E248)</f>
        <v>318.93781457390719</v>
      </c>
      <c r="F256" s="221">
        <f>MAX(F253,F248)</f>
        <v>337.3351506961526</v>
      </c>
      <c r="G256" s="213" t="e">
        <f>#N/A</f>
        <v>#N/A</v>
      </c>
      <c r="H256" s="204"/>
    </row>
    <row r="257" spans="1:8" x14ac:dyDescent="0.25">
      <c r="A257" s="186"/>
      <c r="B257" s="206" t="s">
        <v>439</v>
      </c>
      <c r="C257" s="199">
        <f>MAX(C251,C249)</f>
        <v>180.83564077618107</v>
      </c>
      <c r="D257" s="199">
        <f>MAX(D251,D249)</f>
        <v>337.67104589208202</v>
      </c>
      <c r="E257" s="199">
        <f>MAX(E251,E249)</f>
        <v>313.12637227443219</v>
      </c>
      <c r="F257" s="199">
        <f>MAX(F251,F249)</f>
        <v>315.29927294162491</v>
      </c>
      <c r="G257" s="213" t="e">
        <f>#N/A</f>
        <v>#N/A</v>
      </c>
      <c r="H257" s="204"/>
    </row>
    <row r="258" spans="1:8" x14ac:dyDescent="0.25">
      <c r="A258" s="186"/>
      <c r="B258" s="206"/>
      <c r="C258" s="199"/>
      <c r="D258" s="199"/>
      <c r="E258" s="199"/>
      <c r="F258" s="199"/>
      <c r="G258" s="213" t="e">
        <f>#N/A</f>
        <v>#N/A</v>
      </c>
      <c r="H258" s="189"/>
    </row>
    <row r="259" spans="1:8" x14ac:dyDescent="0.25">
      <c r="A259" s="186"/>
      <c r="B259" s="216" t="s">
        <v>440</v>
      </c>
      <c r="C259" s="198">
        <f>MAX(0,3-C236)*C235</f>
        <v>347.08882973939387</v>
      </c>
      <c r="D259" s="198">
        <f>MAX(0,3-D236)*D235</f>
        <v>606.36443556201004</v>
      </c>
      <c r="E259" s="198">
        <f>MAX(0,3-E236)*E235</f>
        <v>776.72007516054157</v>
      </c>
      <c r="F259" s="198">
        <f>MAX(0,3-F236)*F235</f>
        <v>999.4946888670504</v>
      </c>
      <c r="G259" s="213" t="e">
        <f>#N/A</f>
        <v>#N/A</v>
      </c>
      <c r="H259" s="189"/>
    </row>
    <row r="260" spans="1:8" x14ac:dyDescent="0.25">
      <c r="A260" s="186"/>
      <c r="B260" s="211" t="s">
        <v>441</v>
      </c>
      <c r="C260" s="211">
        <v>0</v>
      </c>
      <c r="D260" s="226"/>
      <c r="E260" s="206"/>
      <c r="F260" s="203"/>
      <c r="G260" s="203"/>
      <c r="H260" s="189"/>
    </row>
    <row r="261" spans="1:8" x14ac:dyDescent="0.25">
      <c r="A261" s="186"/>
      <c r="B261" s="227" t="s">
        <v>442</v>
      </c>
      <c r="C261" s="228" t="s">
        <v>443</v>
      </c>
      <c r="D261" s="228"/>
      <c r="E261" s="203"/>
      <c r="F261" s="203"/>
      <c r="G261" s="203"/>
      <c r="H261" s="189"/>
    </row>
    <row r="262" spans="1:8" x14ac:dyDescent="0.25">
      <c r="A262" s="186"/>
      <c r="B262" s="203"/>
      <c r="C262" s="203"/>
      <c r="D262" s="203"/>
      <c r="E262" s="203"/>
      <c r="F262" s="203"/>
      <c r="G262" s="203"/>
      <c r="H262" s="189"/>
    </row>
    <row r="263" spans="1:8" x14ac:dyDescent="0.25">
      <c r="A263" s="186"/>
      <c r="B263" s="187" t="s">
        <v>444</v>
      </c>
      <c r="C263" s="187"/>
      <c r="D263" s="188"/>
      <c r="E263" s="188"/>
      <c r="F263" s="188"/>
      <c r="G263" s="188"/>
      <c r="H263" s="189"/>
    </row>
    <row r="264" spans="1:8" x14ac:dyDescent="0.25">
      <c r="A264" s="186"/>
      <c r="B264" s="190" t="s">
        <v>392</v>
      </c>
      <c r="C264" s="190">
        <v>2016</v>
      </c>
      <c r="D264" s="190">
        <v>2017</v>
      </c>
      <c r="E264" s="190">
        <v>2018</v>
      </c>
      <c r="F264" s="190">
        <v>2019</v>
      </c>
      <c r="G264" s="190" t="s">
        <v>195</v>
      </c>
      <c r="H264" s="191" t="s">
        <v>393</v>
      </c>
    </row>
    <row r="265" spans="1:8" ht="45" x14ac:dyDescent="0.25">
      <c r="A265" s="186"/>
      <c r="B265" s="220" t="s">
        <v>445</v>
      </c>
      <c r="C265" s="229">
        <f>C75</f>
        <v>253.26511815999999</v>
      </c>
      <c r="D265" s="229" t="e">
        <f>#N/A</f>
        <v>#N/A</v>
      </c>
      <c r="E265" s="229" t="e">
        <f>#N/A</f>
        <v>#N/A</v>
      </c>
      <c r="F265" s="229" t="e">
        <f>#N/A</f>
        <v>#N/A</v>
      </c>
      <c r="G265" s="213" t="e">
        <f>SUM(C265:F265)</f>
        <v>#N/A</v>
      </c>
      <c r="H265" s="230" t="s">
        <v>446</v>
      </c>
    </row>
    <row r="266" spans="1:8" x14ac:dyDescent="0.25">
      <c r="A266" s="186"/>
      <c r="B266" s="231" t="s">
        <v>447</v>
      </c>
      <c r="C266" s="232">
        <f>C76</f>
        <v>191.26511815999999</v>
      </c>
      <c r="D266" s="232" t="e">
        <f>#N/A</f>
        <v>#N/A</v>
      </c>
      <c r="E266" s="232" t="e">
        <f>#N/A</f>
        <v>#N/A</v>
      </c>
      <c r="F266" s="232" t="e">
        <f>#N/A</f>
        <v>#N/A</v>
      </c>
      <c r="G266" s="213" t="e">
        <f>SUM(C266:F266)</f>
        <v>#N/A</v>
      </c>
      <c r="H266" s="189"/>
    </row>
    <row r="267" spans="1:8" x14ac:dyDescent="0.25">
      <c r="A267" s="186"/>
      <c r="B267" s="211" t="s">
        <v>448</v>
      </c>
      <c r="C267" s="233">
        <f>C86</f>
        <v>146.50517983050847</v>
      </c>
      <c r="D267" s="233">
        <f>D86</f>
        <v>210.55183895000002</v>
      </c>
      <c r="E267" s="233">
        <f>E86</f>
        <v>202.79312056779702</v>
      </c>
      <c r="F267" s="233">
        <f>F86</f>
        <v>117.84736340231338</v>
      </c>
      <c r="G267" s="213">
        <f>SUM(C267:F267)</f>
        <v>677.69750275061881</v>
      </c>
      <c r="H267" s="189"/>
    </row>
    <row r="268" spans="1:8" x14ac:dyDescent="0.25">
      <c r="A268" s="186"/>
      <c r="B268" s="231" t="s">
        <v>449</v>
      </c>
      <c r="C268" s="232">
        <f>C94</f>
        <v>62</v>
      </c>
      <c r="D268" s="232" t="e">
        <f>#N/A</f>
        <v>#N/A</v>
      </c>
      <c r="E268" s="232" t="e">
        <f>#N/A</f>
        <v>#N/A</v>
      </c>
      <c r="F268" s="232" t="e">
        <f>#N/A</f>
        <v>#N/A</v>
      </c>
      <c r="G268" s="213" t="e">
        <f>SUM(C268:F268)</f>
        <v>#N/A</v>
      </c>
      <c r="H268" s="189"/>
    </row>
    <row r="269" spans="1:8" x14ac:dyDescent="0.25">
      <c r="A269" s="186"/>
      <c r="B269" s="211" t="s">
        <v>450</v>
      </c>
      <c r="C269" s="232">
        <f>C95</f>
        <v>62</v>
      </c>
      <c r="D269" s="232" t="e">
        <f>#N/A</f>
        <v>#N/A</v>
      </c>
      <c r="E269" s="232" t="e">
        <f>#N/A</f>
        <v>#N/A</v>
      </c>
      <c r="F269" s="232" t="e">
        <f>#N/A</f>
        <v>#N/A</v>
      </c>
      <c r="G269" s="213" t="e">
        <f>SUM(C269:F269)</f>
        <v>#N/A</v>
      </c>
      <c r="H269" s="189"/>
    </row>
    <row r="270" spans="1:8" x14ac:dyDescent="0.25">
      <c r="A270" s="186"/>
      <c r="B270" s="206" t="s">
        <v>451</v>
      </c>
      <c r="C270" s="234">
        <f>C266/C265</f>
        <v>0.75519723975241015</v>
      </c>
      <c r="D270" s="234" t="e">
        <f>D266/D265</f>
        <v>#N/A</v>
      </c>
      <c r="E270" s="234" t="e">
        <f>E266/E265</f>
        <v>#N/A</v>
      </c>
      <c r="F270" s="234" t="e">
        <f>F266/F265</f>
        <v>#N/A</v>
      </c>
      <c r="G270" s="234" t="e">
        <f>G266/G265</f>
        <v>#N/A</v>
      </c>
      <c r="H270" s="189"/>
    </row>
    <row r="271" spans="1:8" x14ac:dyDescent="0.25">
      <c r="A271" s="186"/>
      <c r="B271" s="206" t="s">
        <v>452</v>
      </c>
      <c r="C271" s="234">
        <f>C268/C265</f>
        <v>0.24480276024758987</v>
      </c>
      <c r="D271" s="234" t="e">
        <f>D268/D265</f>
        <v>#N/A</v>
      </c>
      <c r="E271" s="234" t="e">
        <f>E268/E265</f>
        <v>#N/A</v>
      </c>
      <c r="F271" s="234" t="e">
        <f>F268/F265</f>
        <v>#N/A</v>
      </c>
      <c r="G271" s="234" t="e">
        <f>G268/G265</f>
        <v>#N/A</v>
      </c>
      <c r="H271" s="189"/>
    </row>
    <row r="272" spans="1:8" x14ac:dyDescent="0.25">
      <c r="A272" s="186"/>
      <c r="B272" s="206"/>
      <c r="C272" s="188"/>
      <c r="D272" s="188"/>
      <c r="E272" s="188"/>
      <c r="F272" s="188"/>
      <c r="G272" s="235"/>
      <c r="H272" s="189"/>
    </row>
    <row r="273" spans="1:9" ht="45" x14ac:dyDescent="0.25">
      <c r="A273" s="186"/>
      <c r="B273" s="216" t="s">
        <v>453</v>
      </c>
      <c r="C273" s="236">
        <v>257.17</v>
      </c>
      <c r="D273" s="236">
        <v>222.11</v>
      </c>
      <c r="E273" s="236">
        <v>228.37</v>
      </c>
      <c r="F273" s="185"/>
      <c r="G273" s="237">
        <f>SUM(C273:E273)</f>
        <v>707.65000000000009</v>
      </c>
      <c r="H273" s="230" t="s">
        <v>454</v>
      </c>
    </row>
    <row r="274" spans="1:9" x14ac:dyDescent="0.25">
      <c r="A274" s="186"/>
      <c r="B274" s="206" t="s">
        <v>455</v>
      </c>
      <c r="C274" s="238">
        <f>C265-C273</f>
        <v>-3.90488184000003</v>
      </c>
      <c r="D274" s="238" t="e">
        <f>D265-D273</f>
        <v>#N/A</v>
      </c>
      <c r="E274" s="238" t="e">
        <f>E265-E273</f>
        <v>#N/A</v>
      </c>
      <c r="F274" s="238"/>
      <c r="G274" s="237" t="e">
        <f>SUM(D274:F274)</f>
        <v>#N/A</v>
      </c>
      <c r="H274" s="189"/>
    </row>
    <row r="275" spans="1:9" x14ac:dyDescent="0.25">
      <c r="A275" s="186"/>
      <c r="B275" s="206" t="s">
        <v>455</v>
      </c>
      <c r="C275" s="234">
        <f>C265/C273-1</f>
        <v>-1.5184048839289255E-2</v>
      </c>
      <c r="D275" s="234" t="e">
        <f>D265/D273-1</f>
        <v>#N/A</v>
      </c>
      <c r="E275" s="234" t="e">
        <f>E265/E273-1</f>
        <v>#N/A</v>
      </c>
      <c r="F275" s="234"/>
      <c r="G275" s="239" t="e">
        <f>SUM(C265:E265)/SUM(C273:E273)</f>
        <v>#N/A</v>
      </c>
      <c r="H275" s="189"/>
    </row>
    <row r="276" spans="1:9" x14ac:dyDescent="0.25">
      <c r="A276" s="186"/>
      <c r="B276" s="188"/>
      <c r="C276" s="240">
        <f>C269-C233</f>
        <v>0</v>
      </c>
      <c r="D276" s="240" t="e">
        <f>D269-D233</f>
        <v>#N/A</v>
      </c>
      <c r="E276" s="240" t="e">
        <f>E269-E233</f>
        <v>#N/A</v>
      </c>
      <c r="F276" s="240" t="e">
        <f>F269-F233</f>
        <v>#N/A</v>
      </c>
      <c r="G276" s="188"/>
      <c r="H276" s="189"/>
    </row>
    <row r="277" spans="1:9" ht="47.25" x14ac:dyDescent="0.25">
      <c r="A277" s="186"/>
      <c r="B277" s="241" t="s">
        <v>456</v>
      </c>
      <c r="C277" s="240">
        <f>C267-C248</f>
        <v>-34.330460945672598</v>
      </c>
      <c r="D277" s="240">
        <f>D267-D248</f>
        <v>-61.138020208900031</v>
      </c>
      <c r="E277" s="240">
        <f>E267-E248</f>
        <v>-102.08338896203497</v>
      </c>
      <c r="F277" s="240">
        <f>F267-F248</f>
        <v>-219.48778729383923</v>
      </c>
      <c r="G277" s="188"/>
      <c r="H277" s="242" t="s">
        <v>457</v>
      </c>
    </row>
    <row r="278" spans="1:9" x14ac:dyDescent="0.25">
      <c r="A278" s="243"/>
      <c r="B278" s="206" t="s">
        <v>458</v>
      </c>
      <c r="C278" s="199">
        <f>C267-C220</f>
        <v>-35.582732369491481</v>
      </c>
      <c r="D278" s="199">
        <f>D267-D220</f>
        <v>-37.892251010999985</v>
      </c>
      <c r="E278" s="199">
        <f>E267-E220</f>
        <v>-46.305431436202952</v>
      </c>
      <c r="F278" s="199">
        <f>F267-F220</f>
        <v>-129.66396321488662</v>
      </c>
      <c r="G278" s="188"/>
      <c r="H278" s="189"/>
    </row>
    <row r="279" spans="1:9" ht="270" x14ac:dyDescent="0.25">
      <c r="A279" s="243"/>
      <c r="B279" s="241" t="s">
        <v>459</v>
      </c>
      <c r="C279" s="240">
        <f>C266-C254</f>
        <v>11.317789908610195</v>
      </c>
      <c r="D279" s="240" t="e">
        <f>D266-D254</f>
        <v>#N/A</v>
      </c>
      <c r="E279" s="240" t="e">
        <f>E266-E254</f>
        <v>#N/A</v>
      </c>
      <c r="F279" s="240" t="e">
        <f>F266-F254</f>
        <v>#N/A</v>
      </c>
      <c r="G279" s="188"/>
      <c r="H279" s="204" t="s">
        <v>460</v>
      </c>
      <c r="I279" s="163"/>
    </row>
    <row r="280" spans="1:9" ht="31.5" x14ac:dyDescent="0.25">
      <c r="A280" s="243"/>
      <c r="B280" s="241" t="s">
        <v>461</v>
      </c>
      <c r="C280" s="240">
        <f>C266-C256</f>
        <v>10.42947738381892</v>
      </c>
      <c r="D280" s="240" t="e">
        <f>D266-D256</f>
        <v>#N/A</v>
      </c>
      <c r="E280" s="240" t="e">
        <f>E266-E256</f>
        <v>#N/A</v>
      </c>
      <c r="F280" s="240" t="e">
        <f>F266-F256</f>
        <v>#N/A</v>
      </c>
      <c r="G280" s="188"/>
      <c r="H280" s="189"/>
    </row>
    <row r="281" spans="1:9" x14ac:dyDescent="0.25">
      <c r="A281" s="243"/>
      <c r="B281" s="188"/>
      <c r="C281" s="188"/>
      <c r="D281" s="188"/>
      <c r="E281" s="188"/>
      <c r="F281" s="188"/>
      <c r="G281" s="188"/>
      <c r="H281" s="189"/>
    </row>
    <row r="282" spans="1:9" x14ac:dyDescent="0.25">
      <c r="A282" s="243"/>
      <c r="B282" s="189"/>
      <c r="C282" s="189"/>
      <c r="D282" s="189"/>
      <c r="E282" s="189"/>
      <c r="F282" s="189"/>
      <c r="G282" s="189"/>
      <c r="H282" s="189"/>
    </row>
    <row r="283" spans="1:9" x14ac:dyDescent="0.25">
      <c r="A283" s="243"/>
      <c r="B283" s="188"/>
      <c r="C283" s="188"/>
      <c r="D283" s="188"/>
      <c r="E283" s="188"/>
      <c r="F283" s="188"/>
      <c r="G283" s="188"/>
      <c r="H283" s="189"/>
    </row>
    <row r="284" spans="1:9" x14ac:dyDescent="0.25">
      <c r="A284" s="243"/>
      <c r="B284" s="187" t="s">
        <v>462</v>
      </c>
      <c r="C284" s="187"/>
      <c r="D284" s="188"/>
      <c r="E284" s="188"/>
      <c r="F284" s="188"/>
      <c r="G284" s="188"/>
      <c r="H284" s="189"/>
    </row>
    <row r="285" spans="1:9" x14ac:dyDescent="0.25">
      <c r="A285" s="243"/>
      <c r="B285" s="190"/>
      <c r="C285" s="190">
        <v>2016</v>
      </c>
      <c r="D285" s="190">
        <v>2017</v>
      </c>
      <c r="E285" s="190">
        <v>2018</v>
      </c>
      <c r="F285" s="190">
        <v>2019</v>
      </c>
      <c r="G285" s="190" t="s">
        <v>195</v>
      </c>
      <c r="H285" s="191" t="s">
        <v>393</v>
      </c>
    </row>
    <row r="286" spans="1:9" x14ac:dyDescent="0.25">
      <c r="A286" s="243"/>
      <c r="B286" s="188" t="s">
        <v>463</v>
      </c>
      <c r="C286" s="188"/>
      <c r="D286" s="244">
        <f>D4/C4-1</f>
        <v>6.9303068637110776E-2</v>
      </c>
      <c r="E286" s="244">
        <f>E4/D4-1</f>
        <v>7.8666798850908215E-3</v>
      </c>
      <c r="F286" s="244">
        <f>F4/E4-1</f>
        <v>4.0254511562506146E-2</v>
      </c>
      <c r="G286" s="188"/>
      <c r="H286" s="392" t="s">
        <v>464</v>
      </c>
    </row>
    <row r="287" spans="1:9" x14ac:dyDescent="0.25">
      <c r="A287" s="243"/>
      <c r="B287" s="188" t="s">
        <v>465</v>
      </c>
      <c r="C287" s="188"/>
      <c r="D287" s="244" t="e">
        <f>#N/A</f>
        <v>#N/A</v>
      </c>
      <c r="E287" s="244" t="e">
        <f>#N/A</f>
        <v>#N/A</v>
      </c>
      <c r="F287" s="244" t="e">
        <f>#N/A</f>
        <v>#N/A</v>
      </c>
      <c r="G287" s="188"/>
      <c r="H287" s="392"/>
    </row>
    <row r="288" spans="1:9" x14ac:dyDescent="0.25">
      <c r="A288" s="243"/>
      <c r="B288" s="188" t="s">
        <v>466</v>
      </c>
      <c r="C288" s="188"/>
      <c r="D288" s="244" t="e">
        <f>#N/A</f>
        <v>#N/A</v>
      </c>
      <c r="E288" s="244" t="e">
        <f>#N/A</f>
        <v>#N/A</v>
      </c>
      <c r="F288" s="244" t="e">
        <f>#N/A</f>
        <v>#N/A</v>
      </c>
      <c r="G288" s="188"/>
      <c r="H288" s="392"/>
    </row>
    <row r="289" spans="1:8" x14ac:dyDescent="0.25">
      <c r="A289" s="243"/>
      <c r="B289" s="245" t="s">
        <v>467</v>
      </c>
      <c r="C289" s="188"/>
      <c r="D289" s="244">
        <f>D13/C13-1</f>
        <v>9.0712082435820074E-2</v>
      </c>
      <c r="E289" s="244">
        <f>E13/D13-1</f>
        <v>8.1971172121630964E-2</v>
      </c>
      <c r="F289" s="244">
        <f>F13/E13-1</f>
        <v>8.1032646456814295E-2</v>
      </c>
      <c r="G289" s="188"/>
      <c r="H289" s="392"/>
    </row>
    <row r="290" spans="1:8" x14ac:dyDescent="0.25">
      <c r="A290" s="243"/>
      <c r="B290" s="245" t="s">
        <v>249</v>
      </c>
      <c r="C290" s="188"/>
      <c r="D290" s="244">
        <f>D11/C11-1</f>
        <v>3.4122170076423153E-2</v>
      </c>
      <c r="E290" s="244">
        <f>E11/D11-1</f>
        <v>3.4146766827441999E-2</v>
      </c>
      <c r="F290" s="244">
        <f>F11/E11-1</f>
        <v>3.7011518971863389E-2</v>
      </c>
      <c r="G290" s="188"/>
      <c r="H290" s="392"/>
    </row>
    <row r="291" spans="1:8" x14ac:dyDescent="0.25">
      <c r="A291" s="243"/>
      <c r="B291" s="188" t="s">
        <v>468</v>
      </c>
      <c r="C291" s="188"/>
      <c r="D291" s="244">
        <f>D14/C14-1</f>
        <v>3.8000000000000034E-2</v>
      </c>
      <c r="E291" s="244">
        <f>E14/D14-1</f>
        <v>4.4999999999999929E-2</v>
      </c>
      <c r="F291" s="244">
        <f>F14/E14-1</f>
        <v>5.500000000000016E-2</v>
      </c>
      <c r="G291" s="188"/>
      <c r="H291" s="392"/>
    </row>
    <row r="292" spans="1:8" x14ac:dyDescent="0.25">
      <c r="A292" s="243"/>
      <c r="B292" s="206" t="s">
        <v>469</v>
      </c>
      <c r="C292" s="246">
        <f>C40/C4</f>
        <v>2.9343528118718491E-2</v>
      </c>
      <c r="D292" s="246">
        <f>D40/D4</f>
        <v>1.5841588630601124E-2</v>
      </c>
      <c r="E292" s="246">
        <f>E40/E4</f>
        <v>1.321500305700974E-2</v>
      </c>
      <c r="F292" s="246">
        <f>F40/F4</f>
        <v>2.9864796921235438E-2</v>
      </c>
      <c r="G292" s="188"/>
      <c r="H292" s="247"/>
    </row>
    <row r="293" spans="1:8" ht="63" x14ac:dyDescent="0.25">
      <c r="A293" s="243"/>
      <c r="B293" s="206"/>
      <c r="C293" s="206"/>
      <c r="D293" s="248"/>
      <c r="E293" s="248"/>
      <c r="F293" s="248"/>
      <c r="G293" s="188"/>
      <c r="H293" s="249" t="s">
        <v>470</v>
      </c>
    </row>
    <row r="294" spans="1:8" x14ac:dyDescent="0.25">
      <c r="A294" s="243"/>
      <c r="B294" s="188"/>
      <c r="C294" s="188"/>
      <c r="D294" s="188"/>
      <c r="E294" s="188"/>
      <c r="F294" s="188"/>
      <c r="G294" s="188"/>
      <c r="H294" s="250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59:F259">
    <cfRule type="cellIs" dxfId="9" priority="10" operator="greaterThan">
      <formula>0</formula>
    </cfRule>
  </conditionalFormatting>
  <conditionalFormatting sqref="C276:F277 C279:F280">
    <cfRule type="cellIs" dxfId="8" priority="9" operator="lessThan">
      <formula>0</formula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C191:G192 G196:G200 C197:F200 H200 C204:G210 C214:G216 C226:G226 D245:F245 C252:F252 C255:F255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43:G244">
    <cfRule type="cellIs" dxfId="3" priority="1" operator="lessThan">
      <formula>0</formula>
    </cfRule>
    <cfRule type="cellIs" dxfId="2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1" customFormat="1" ht="49.5" customHeight="1" thickBot="1" x14ac:dyDescent="0.3">
      <c r="D1" s="64" t="s">
        <v>181</v>
      </c>
      <c r="E1" s="64" t="s">
        <v>192</v>
      </c>
      <c r="F1" s="64" t="s">
        <v>193</v>
      </c>
      <c r="G1" s="64" t="s">
        <v>186</v>
      </c>
      <c r="H1" s="64" t="s">
        <v>187</v>
      </c>
      <c r="I1" s="64" t="s">
        <v>188</v>
      </c>
      <c r="J1" s="64" t="s">
        <v>189</v>
      </c>
      <c r="K1" s="64" t="s">
        <v>190</v>
      </c>
    </row>
    <row r="2" spans="1:11" ht="15.75" thickBot="1" x14ac:dyDescent="0.3">
      <c r="A2" s="1" t="s">
        <v>73</v>
      </c>
      <c r="B2" s="2" t="s">
        <v>74</v>
      </c>
      <c r="C2" s="3" t="s">
        <v>75</v>
      </c>
      <c r="D2" s="23">
        <v>390804.63049000001</v>
      </c>
      <c r="E2" s="23">
        <v>427395.99913000001</v>
      </c>
      <c r="F2" s="23">
        <v>547271.76001905091</v>
      </c>
      <c r="G2" s="23">
        <v>466234.73279855994</v>
      </c>
      <c r="H2" s="23">
        <v>465272.59175792662</v>
      </c>
      <c r="I2" s="23">
        <v>515880.55097001744</v>
      </c>
      <c r="J2" s="23">
        <v>514816.26234154933</v>
      </c>
      <c r="K2" s="23">
        <v>545212.51286033448</v>
      </c>
    </row>
    <row r="3" spans="1:11" x14ac:dyDescent="0.25">
      <c r="A3" s="4" t="s">
        <v>17</v>
      </c>
      <c r="B3" s="5" t="s">
        <v>76</v>
      </c>
      <c r="C3" s="6" t="s">
        <v>75</v>
      </c>
      <c r="D3" s="24">
        <v>3938.0501599999998</v>
      </c>
      <c r="E3" s="24">
        <v>5184.8203300000005</v>
      </c>
      <c r="F3" s="24">
        <v>3648.71</v>
      </c>
      <c r="G3" s="55">
        <v>3885.8761500000001</v>
      </c>
      <c r="H3" s="55">
        <v>3860.33518</v>
      </c>
      <c r="I3" s="55">
        <v>4099.5993382500001</v>
      </c>
      <c r="J3" s="55">
        <v>4072.6536148999999</v>
      </c>
      <c r="K3" s="55">
        <v>4296.6495637194994</v>
      </c>
    </row>
    <row r="4" spans="1:11" x14ac:dyDescent="0.25">
      <c r="A4" s="4" t="s">
        <v>18</v>
      </c>
      <c r="B4" s="5" t="s">
        <v>77</v>
      </c>
      <c r="C4" s="6" t="s">
        <v>75</v>
      </c>
      <c r="D4" s="25">
        <v>0</v>
      </c>
      <c r="E4" s="46">
        <v>0</v>
      </c>
      <c r="F4" s="25">
        <v>0</v>
      </c>
      <c r="G4" s="55"/>
      <c r="H4" s="55"/>
      <c r="I4" s="55"/>
      <c r="J4" s="55"/>
      <c r="K4" s="55"/>
    </row>
    <row r="5" spans="1:11" ht="22.5" x14ac:dyDescent="0.25">
      <c r="A5" s="4" t="s">
        <v>21</v>
      </c>
      <c r="B5" s="7" t="s">
        <v>78</v>
      </c>
      <c r="C5" s="8" t="s">
        <v>75</v>
      </c>
      <c r="D5" s="26">
        <v>330.47184000000004</v>
      </c>
      <c r="E5" s="26">
        <v>550.64852999999994</v>
      </c>
      <c r="F5" s="39">
        <v>12156</v>
      </c>
      <c r="G5" s="56"/>
      <c r="H5" s="56"/>
      <c r="I5" s="56"/>
      <c r="J5" s="56"/>
      <c r="K5" s="56"/>
    </row>
    <row r="6" spans="1:11" ht="22.5" x14ac:dyDescent="0.25">
      <c r="A6" s="4" t="s">
        <v>37</v>
      </c>
      <c r="B6" s="7" t="s">
        <v>79</v>
      </c>
      <c r="C6" s="8" t="s">
        <v>75</v>
      </c>
      <c r="D6" s="26">
        <v>0</v>
      </c>
      <c r="E6" s="26">
        <v>0</v>
      </c>
      <c r="F6" s="39">
        <v>117481.56</v>
      </c>
      <c r="G6" s="56">
        <v>0</v>
      </c>
      <c r="H6" s="56"/>
      <c r="I6" s="56">
        <v>0</v>
      </c>
      <c r="J6" s="56"/>
      <c r="K6" s="56"/>
    </row>
    <row r="7" spans="1:11" ht="22.5" x14ac:dyDescent="0.25">
      <c r="A7" s="4" t="s">
        <v>71</v>
      </c>
      <c r="B7" s="7" t="s">
        <v>80</v>
      </c>
      <c r="C7" s="8" t="s">
        <v>75</v>
      </c>
      <c r="D7" s="26">
        <v>0</v>
      </c>
      <c r="E7" s="26">
        <v>0</v>
      </c>
      <c r="F7" s="26">
        <v>117481.56</v>
      </c>
      <c r="G7" s="56">
        <v>0</v>
      </c>
      <c r="H7" s="56"/>
      <c r="I7" s="56">
        <v>0</v>
      </c>
      <c r="J7" s="56"/>
      <c r="K7" s="56"/>
    </row>
    <row r="8" spans="1:11" x14ac:dyDescent="0.25">
      <c r="A8" s="4" t="s">
        <v>72</v>
      </c>
      <c r="B8" s="7" t="s">
        <v>81</v>
      </c>
      <c r="C8" s="8" t="s">
        <v>75</v>
      </c>
      <c r="D8" s="26">
        <v>0</v>
      </c>
      <c r="E8" s="26">
        <v>0</v>
      </c>
      <c r="F8" s="26">
        <v>0</v>
      </c>
      <c r="G8" s="56"/>
      <c r="H8" s="56"/>
      <c r="I8" s="56"/>
      <c r="J8" s="56"/>
      <c r="K8" s="56"/>
    </row>
    <row r="9" spans="1:11" x14ac:dyDescent="0.25">
      <c r="A9" s="4" t="s">
        <v>82</v>
      </c>
      <c r="B9" s="7" t="s">
        <v>83</v>
      </c>
      <c r="C9" s="8" t="s">
        <v>75</v>
      </c>
      <c r="D9" s="26">
        <v>0</v>
      </c>
      <c r="E9" s="26">
        <v>0</v>
      </c>
      <c r="F9" s="26">
        <v>0</v>
      </c>
      <c r="G9" s="56"/>
      <c r="H9" s="56"/>
      <c r="I9" s="56"/>
      <c r="J9" s="56"/>
      <c r="K9" s="56"/>
    </row>
    <row r="10" spans="1:11" x14ac:dyDescent="0.25">
      <c r="A10" s="4" t="s">
        <v>84</v>
      </c>
      <c r="B10" s="7" t="s">
        <v>85</v>
      </c>
      <c r="C10" s="8" t="s">
        <v>75</v>
      </c>
      <c r="D10" s="26">
        <v>0</v>
      </c>
      <c r="E10" s="26">
        <v>0</v>
      </c>
      <c r="F10" s="26">
        <v>0</v>
      </c>
      <c r="G10" s="56"/>
      <c r="H10" s="56"/>
      <c r="I10" s="56"/>
      <c r="J10" s="56"/>
      <c r="K10" s="56"/>
    </row>
    <row r="11" spans="1:11" ht="22.5" x14ac:dyDescent="0.25">
      <c r="A11" s="4" t="s">
        <v>86</v>
      </c>
      <c r="B11" s="7" t="s">
        <v>87</v>
      </c>
      <c r="C11" s="8" t="s">
        <v>75</v>
      </c>
      <c r="D11" s="26">
        <v>1465.0346999999999</v>
      </c>
      <c r="E11" s="26">
        <v>825.70802000000003</v>
      </c>
      <c r="F11" s="26">
        <v>0</v>
      </c>
      <c r="G11" s="56"/>
      <c r="H11" s="56"/>
      <c r="I11" s="56"/>
      <c r="J11" s="56"/>
      <c r="K11" s="56"/>
    </row>
    <row r="12" spans="1:11" ht="22.5" x14ac:dyDescent="0.25">
      <c r="A12" s="4" t="s">
        <v>88</v>
      </c>
      <c r="B12" s="7" t="s">
        <v>89</v>
      </c>
      <c r="C12" s="8" t="s">
        <v>75</v>
      </c>
      <c r="D12" s="26">
        <v>0</v>
      </c>
      <c r="E12" s="26">
        <v>0</v>
      </c>
      <c r="F12" s="26">
        <v>0</v>
      </c>
      <c r="G12" s="56"/>
      <c r="H12" s="56"/>
      <c r="I12" s="56"/>
      <c r="J12" s="56"/>
      <c r="K12" s="56"/>
    </row>
    <row r="13" spans="1:11" ht="45" x14ac:dyDescent="0.25">
      <c r="A13" s="36" t="s">
        <v>90</v>
      </c>
      <c r="B13" s="37" t="s">
        <v>91</v>
      </c>
      <c r="C13" s="38" t="s">
        <v>75</v>
      </c>
      <c r="D13" s="39">
        <v>2409</v>
      </c>
      <c r="E13" s="39">
        <v>4407</v>
      </c>
      <c r="F13" s="39">
        <v>0</v>
      </c>
      <c r="G13" s="56"/>
      <c r="H13" s="56"/>
      <c r="I13" s="56"/>
      <c r="J13" s="56"/>
      <c r="K13" s="56"/>
    </row>
    <row r="14" spans="1:11" ht="22.5" x14ac:dyDescent="0.25">
      <c r="A14" s="9" t="s">
        <v>92</v>
      </c>
      <c r="B14" s="7" t="s">
        <v>93</v>
      </c>
      <c r="C14" s="8" t="s">
        <v>75</v>
      </c>
      <c r="D14" s="26">
        <v>2409</v>
      </c>
      <c r="E14" s="26">
        <v>4407</v>
      </c>
      <c r="F14" s="26">
        <v>0</v>
      </c>
      <c r="G14" s="56"/>
      <c r="H14" s="56"/>
      <c r="I14" s="56"/>
      <c r="J14" s="56"/>
      <c r="K14" s="56"/>
    </row>
    <row r="15" spans="1:11" x14ac:dyDescent="0.25">
      <c r="A15" s="4" t="s">
        <v>94</v>
      </c>
      <c r="B15" s="7" t="s">
        <v>95</v>
      </c>
      <c r="C15" s="8" t="s">
        <v>75</v>
      </c>
      <c r="D15" s="26">
        <v>608.13585</v>
      </c>
      <c r="E15" s="26">
        <v>606.01379999999995</v>
      </c>
      <c r="F15" s="26">
        <v>581.73</v>
      </c>
      <c r="G15" s="56">
        <v>569.6</v>
      </c>
      <c r="H15" s="55">
        <v>615.47034000000008</v>
      </c>
      <c r="I15" s="56">
        <v>569.6</v>
      </c>
      <c r="J15" s="55">
        <v>649.32120870000006</v>
      </c>
      <c r="K15" s="55">
        <v>685.03387517850001</v>
      </c>
    </row>
    <row r="16" spans="1:11" x14ac:dyDescent="0.25">
      <c r="A16" s="4" t="s">
        <v>96</v>
      </c>
      <c r="B16" s="5" t="s">
        <v>97</v>
      </c>
      <c r="C16" s="6" t="s">
        <v>75</v>
      </c>
      <c r="D16" s="25">
        <v>11.017569999999999</v>
      </c>
      <c r="E16" s="25">
        <v>15.316139999999999</v>
      </c>
      <c r="F16" s="25">
        <v>0</v>
      </c>
      <c r="G16" s="55"/>
      <c r="H16" s="55"/>
      <c r="I16" s="55"/>
      <c r="J16" s="55"/>
      <c r="K16" s="55"/>
    </row>
    <row r="17" spans="1:11" x14ac:dyDescent="0.25">
      <c r="A17" s="4" t="s">
        <v>98</v>
      </c>
      <c r="B17" s="5" t="s">
        <v>99</v>
      </c>
      <c r="C17" s="6" t="s">
        <v>75</v>
      </c>
      <c r="D17" s="25">
        <v>29879.892759999999</v>
      </c>
      <c r="E17" s="25">
        <v>29427.63435</v>
      </c>
      <c r="F17" s="25">
        <v>10800</v>
      </c>
      <c r="G17" s="55">
        <v>11502</v>
      </c>
      <c r="H17" s="55">
        <v>11426.400000000001</v>
      </c>
      <c r="I17" s="55">
        <v>12134.609999999999</v>
      </c>
      <c r="J17" s="55">
        <v>12054.852000000001</v>
      </c>
      <c r="K17" s="55">
        <v>12717.86886</v>
      </c>
    </row>
    <row r="18" spans="1:11" x14ac:dyDescent="0.25">
      <c r="A18" s="32" t="s">
        <v>100</v>
      </c>
      <c r="B18" s="33" t="s">
        <v>101</v>
      </c>
      <c r="C18" s="34" t="s">
        <v>75</v>
      </c>
      <c r="D18" s="35">
        <v>281338.75399999996</v>
      </c>
      <c r="E18" s="35">
        <v>284594.78214999998</v>
      </c>
      <c r="F18" s="35">
        <v>295224.75850000011</v>
      </c>
      <c r="G18" s="60">
        <v>335918.62003077089</v>
      </c>
      <c r="H18" s="60">
        <v>335918.62003077089</v>
      </c>
      <c r="I18" s="60">
        <v>378428.38</v>
      </c>
      <c r="J18" s="60">
        <v>378428.38</v>
      </c>
      <c r="K18" s="55">
        <v>401323.29699</v>
      </c>
    </row>
    <row r="19" spans="1:11" x14ac:dyDescent="0.25">
      <c r="A19" s="32" t="s">
        <v>102</v>
      </c>
      <c r="B19" s="33" t="s">
        <v>103</v>
      </c>
      <c r="C19" s="34" t="s">
        <v>75</v>
      </c>
      <c r="D19" s="35">
        <v>62543.19872</v>
      </c>
      <c r="E19" s="35">
        <v>98287.911109999986</v>
      </c>
      <c r="F19" s="35">
        <v>99618.131519050774</v>
      </c>
      <c r="G19" s="60">
        <v>106093.31006778908</v>
      </c>
      <c r="H19" s="60">
        <v>105395.98314715573</v>
      </c>
      <c r="I19" s="60">
        <v>111928.44212151747</v>
      </c>
      <c r="J19" s="60">
        <v>111192.76222024928</v>
      </c>
      <c r="K19" s="55">
        <v>117308.36414236299</v>
      </c>
    </row>
    <row r="20" spans="1:11" x14ac:dyDescent="0.25">
      <c r="A20" s="4" t="s">
        <v>104</v>
      </c>
      <c r="B20" s="5" t="s">
        <v>105</v>
      </c>
      <c r="C20" s="6" t="s">
        <v>75</v>
      </c>
      <c r="D20" s="25">
        <v>0</v>
      </c>
      <c r="E20" s="25">
        <v>0</v>
      </c>
      <c r="F20" s="25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</row>
    <row r="21" spans="1:11" ht="15.75" thickBot="1" x14ac:dyDescent="0.3">
      <c r="A21" s="4" t="s">
        <v>106</v>
      </c>
      <c r="B21" s="5" t="s">
        <v>107</v>
      </c>
      <c r="C21" s="6" t="s">
        <v>75</v>
      </c>
      <c r="D21" s="27">
        <v>8281.0748899999999</v>
      </c>
      <c r="E21" s="27">
        <v>3496.1647000000003</v>
      </c>
      <c r="F21" s="27">
        <v>7760.87</v>
      </c>
      <c r="G21" s="57">
        <v>8265.3265499999998</v>
      </c>
      <c r="H21" s="57">
        <v>8055.7830599999998</v>
      </c>
      <c r="I21" s="57">
        <v>8719.9195102499998</v>
      </c>
      <c r="J21" s="57">
        <v>8418.2932977</v>
      </c>
      <c r="K21" s="57">
        <v>8881.2994290734987</v>
      </c>
    </row>
    <row r="22" spans="1:11" ht="15.75" thickBot="1" x14ac:dyDescent="0.3">
      <c r="A22" s="10" t="s">
        <v>108</v>
      </c>
      <c r="B22" s="2" t="s">
        <v>109</v>
      </c>
      <c r="C22" s="11" t="s">
        <v>75</v>
      </c>
      <c r="D22" s="28">
        <v>129361.59715000002</v>
      </c>
      <c r="E22" s="28">
        <v>154307.46044</v>
      </c>
      <c r="F22" s="28">
        <v>293793.22389695089</v>
      </c>
      <c r="G22" s="28">
        <v>167665.74582555276</v>
      </c>
      <c r="H22" s="28">
        <v>166578.19102897611</v>
      </c>
      <c r="I22" s="28">
        <v>175603.99244595805</v>
      </c>
      <c r="J22" s="28">
        <v>171423.18439833156</v>
      </c>
      <c r="K22" s="28">
        <v>172860.92204023979</v>
      </c>
    </row>
    <row r="23" spans="1:11" x14ac:dyDescent="0.25">
      <c r="A23" s="12" t="s">
        <v>23</v>
      </c>
      <c r="B23" s="5" t="s">
        <v>10</v>
      </c>
      <c r="C23" s="6" t="s">
        <v>75</v>
      </c>
      <c r="D23" s="29">
        <v>9449.9999700000008</v>
      </c>
      <c r="E23" s="29">
        <v>11317.001940000002</v>
      </c>
      <c r="F23" s="29">
        <v>31952.114379999999</v>
      </c>
      <c r="G23" s="55">
        <v>24378.75</v>
      </c>
      <c r="H23" s="55">
        <v>24378.75</v>
      </c>
      <c r="I23" s="55">
        <v>24378.75</v>
      </c>
      <c r="J23" s="55">
        <v>21532.5</v>
      </c>
      <c r="K23" s="55">
        <v>14726.25</v>
      </c>
    </row>
    <row r="24" spans="1:11" x14ac:dyDescent="0.25">
      <c r="A24" s="12" t="s">
        <v>24</v>
      </c>
      <c r="B24" s="5" t="s">
        <v>77</v>
      </c>
      <c r="C24" s="6" t="s">
        <v>75</v>
      </c>
      <c r="D24" s="25">
        <v>0</v>
      </c>
      <c r="E24" s="46">
        <v>0</v>
      </c>
      <c r="F24" s="25">
        <v>0</v>
      </c>
      <c r="G24" s="55"/>
      <c r="H24" s="55"/>
      <c r="I24" s="55"/>
      <c r="J24" s="55"/>
      <c r="K24" s="55"/>
    </row>
    <row r="25" spans="1:11" ht="22.5" x14ac:dyDescent="0.25">
      <c r="A25" s="12" t="s">
        <v>30</v>
      </c>
      <c r="B25" s="7" t="s">
        <v>110</v>
      </c>
      <c r="C25" s="8" t="s">
        <v>75</v>
      </c>
      <c r="D25" s="26">
        <v>345.75536</v>
      </c>
      <c r="E25" s="26">
        <v>231.20609999999999</v>
      </c>
      <c r="F25" s="39">
        <v>12156</v>
      </c>
      <c r="G25" s="56"/>
      <c r="H25" s="56"/>
      <c r="I25" s="56"/>
      <c r="J25" s="56"/>
      <c r="K25" s="56"/>
    </row>
    <row r="26" spans="1:11" ht="22.5" x14ac:dyDescent="0.25">
      <c r="A26" s="12" t="s">
        <v>38</v>
      </c>
      <c r="B26" s="7" t="s">
        <v>79</v>
      </c>
      <c r="C26" s="8" t="s">
        <v>75</v>
      </c>
      <c r="D26" s="26">
        <v>0</v>
      </c>
      <c r="E26" s="26">
        <v>0</v>
      </c>
      <c r="F26" s="39">
        <v>115178</v>
      </c>
      <c r="G26" s="56">
        <v>0</v>
      </c>
      <c r="H26" s="56"/>
      <c r="I26" s="56">
        <v>0</v>
      </c>
      <c r="J26" s="56"/>
      <c r="K26" s="56"/>
    </row>
    <row r="27" spans="1:11" ht="22.5" x14ac:dyDescent="0.25">
      <c r="A27" s="12" t="s">
        <v>111</v>
      </c>
      <c r="B27" s="7" t="s">
        <v>80</v>
      </c>
      <c r="C27" s="8" t="s">
        <v>75</v>
      </c>
      <c r="D27" s="26">
        <v>0</v>
      </c>
      <c r="E27" s="26">
        <v>0</v>
      </c>
      <c r="F27" s="26">
        <v>115178</v>
      </c>
      <c r="G27" s="56">
        <v>0</v>
      </c>
      <c r="H27" s="56"/>
      <c r="I27" s="56">
        <v>0</v>
      </c>
      <c r="J27" s="56"/>
      <c r="K27" s="56"/>
    </row>
    <row r="28" spans="1:11" ht="22.5" x14ac:dyDescent="0.25">
      <c r="A28" s="12" t="s">
        <v>39</v>
      </c>
      <c r="B28" s="7" t="s">
        <v>112</v>
      </c>
      <c r="C28" s="8" t="s">
        <v>75</v>
      </c>
      <c r="D28" s="26">
        <v>0</v>
      </c>
      <c r="E28" s="26">
        <v>0</v>
      </c>
      <c r="F28" s="26">
        <v>0</v>
      </c>
      <c r="G28" s="56"/>
      <c r="H28" s="56"/>
      <c r="I28" s="56"/>
      <c r="J28" s="56"/>
      <c r="K28" s="56"/>
    </row>
    <row r="29" spans="1:11" ht="22.5" x14ac:dyDescent="0.25">
      <c r="A29" s="12" t="s">
        <v>113</v>
      </c>
      <c r="B29" s="7" t="s">
        <v>93</v>
      </c>
      <c r="C29" s="8" t="s">
        <v>75</v>
      </c>
      <c r="D29" s="26">
        <v>0</v>
      </c>
      <c r="E29" s="26">
        <v>0</v>
      </c>
      <c r="F29" s="26">
        <v>0</v>
      </c>
      <c r="G29" s="56"/>
      <c r="H29" s="56"/>
      <c r="I29" s="56"/>
      <c r="J29" s="56"/>
      <c r="K29" s="56"/>
    </row>
    <row r="30" spans="1:11" x14ac:dyDescent="0.25">
      <c r="A30" s="12" t="s">
        <v>40</v>
      </c>
      <c r="B30" s="7" t="s">
        <v>81</v>
      </c>
      <c r="C30" s="8" t="s">
        <v>75</v>
      </c>
      <c r="D30" s="26">
        <v>0</v>
      </c>
      <c r="E30" s="26">
        <v>0</v>
      </c>
      <c r="F30" s="26">
        <v>0</v>
      </c>
      <c r="G30" s="56"/>
      <c r="H30" s="56"/>
      <c r="I30" s="56"/>
      <c r="J30" s="56"/>
      <c r="K30" s="56"/>
    </row>
    <row r="31" spans="1:11" x14ac:dyDescent="0.25">
      <c r="A31" s="12" t="s">
        <v>41</v>
      </c>
      <c r="B31" s="7" t="s">
        <v>114</v>
      </c>
      <c r="C31" s="8" t="s">
        <v>75</v>
      </c>
      <c r="D31" s="26">
        <v>36.064</v>
      </c>
      <c r="E31" s="26">
        <v>88.131</v>
      </c>
      <c r="F31" s="26">
        <v>88.212000000000003</v>
      </c>
      <c r="G31" s="57">
        <v>130.87</v>
      </c>
      <c r="H31" s="57">
        <v>93.328296000000009</v>
      </c>
      <c r="I31" s="57">
        <v>195.53</v>
      </c>
      <c r="J31" s="57">
        <v>98.46135228</v>
      </c>
      <c r="K31" s="57">
        <v>103.87672665539999</v>
      </c>
    </row>
    <row r="32" spans="1:11" x14ac:dyDescent="0.25">
      <c r="A32" s="12" t="s">
        <v>42</v>
      </c>
      <c r="B32" s="7" t="s">
        <v>115</v>
      </c>
      <c r="C32" s="8" t="s">
        <v>75</v>
      </c>
      <c r="D32" s="26">
        <v>483.54414000000003</v>
      </c>
      <c r="E32" s="26">
        <v>338.79532999999998</v>
      </c>
      <c r="F32" s="52">
        <v>516.23900000000003</v>
      </c>
      <c r="G32" s="56">
        <v>549.794535</v>
      </c>
      <c r="H32" s="55">
        <v>546.18086200000005</v>
      </c>
      <c r="I32" s="56">
        <v>580.03323442499993</v>
      </c>
      <c r="J32" s="55">
        <v>576.22080941000002</v>
      </c>
      <c r="K32" s="55">
        <v>607.91295392755001</v>
      </c>
    </row>
    <row r="33" spans="1:11" x14ac:dyDescent="0.25">
      <c r="A33" s="40" t="s">
        <v>43</v>
      </c>
      <c r="B33" s="41" t="s">
        <v>116</v>
      </c>
      <c r="C33" s="42" t="s">
        <v>75</v>
      </c>
      <c r="D33" s="43">
        <v>89468.491589999991</v>
      </c>
      <c r="E33" s="43">
        <v>110312.60970999999</v>
      </c>
      <c r="F33" s="43">
        <v>110618.13151905069</v>
      </c>
      <c r="G33" s="61">
        <v>117808.31006778897</v>
      </c>
      <c r="H33" s="60">
        <v>117033.98314715564</v>
      </c>
      <c r="I33" s="61">
        <v>124287.76712151736</v>
      </c>
      <c r="J33" s="60">
        <v>123470.85222024919</v>
      </c>
      <c r="K33" s="55">
        <v>130261.74909236288</v>
      </c>
    </row>
    <row r="34" spans="1:11" x14ac:dyDescent="0.25">
      <c r="A34" s="12" t="s">
        <v>117</v>
      </c>
      <c r="B34" s="7" t="s">
        <v>118</v>
      </c>
      <c r="C34" s="8" t="s">
        <v>75</v>
      </c>
      <c r="D34" s="26">
        <v>0</v>
      </c>
      <c r="E34" s="26">
        <v>0</v>
      </c>
      <c r="F34" s="26">
        <v>0</v>
      </c>
      <c r="G34" s="56">
        <v>0</v>
      </c>
      <c r="H34" s="56"/>
      <c r="I34" s="56">
        <v>0</v>
      </c>
      <c r="J34" s="56"/>
      <c r="K34" s="56"/>
    </row>
    <row r="35" spans="1:11" ht="22.5" x14ac:dyDescent="0.25">
      <c r="A35" s="12" t="s">
        <v>119</v>
      </c>
      <c r="B35" s="7" t="s">
        <v>120</v>
      </c>
      <c r="C35" s="8" t="s">
        <v>75</v>
      </c>
      <c r="D35" s="26">
        <v>3.8247</v>
      </c>
      <c r="E35" s="26">
        <v>795.41522999999995</v>
      </c>
      <c r="F35" s="53">
        <v>0</v>
      </c>
      <c r="G35" s="56">
        <v>0</v>
      </c>
      <c r="H35" s="56"/>
      <c r="I35" s="56">
        <v>0</v>
      </c>
      <c r="J35" s="56"/>
      <c r="K35" s="56"/>
    </row>
    <row r="36" spans="1:11" ht="22.5" x14ac:dyDescent="0.25">
      <c r="A36" s="12" t="s">
        <v>121</v>
      </c>
      <c r="B36" s="13" t="s">
        <v>87</v>
      </c>
      <c r="C36" s="8" t="s">
        <v>75</v>
      </c>
      <c r="D36" s="26">
        <v>483.41481999999996</v>
      </c>
      <c r="E36" s="26">
        <v>1615.1221399999999</v>
      </c>
      <c r="F36" s="52">
        <v>120</v>
      </c>
      <c r="G36" s="56">
        <v>127.8</v>
      </c>
      <c r="H36" s="55">
        <v>126.96000000000001</v>
      </c>
      <c r="I36" s="56">
        <v>134.82899999999998</v>
      </c>
      <c r="J36" s="55">
        <v>133.94280000000001</v>
      </c>
      <c r="K36" s="55">
        <v>141.30965399999999</v>
      </c>
    </row>
    <row r="37" spans="1:11" ht="22.5" x14ac:dyDescent="0.25">
      <c r="A37" s="12" t="s">
        <v>122</v>
      </c>
      <c r="B37" s="7" t="s">
        <v>123</v>
      </c>
      <c r="C37" s="8" t="s">
        <v>75</v>
      </c>
      <c r="D37" s="26">
        <v>12.321870000000001</v>
      </c>
      <c r="E37" s="26">
        <v>52.156999999999996</v>
      </c>
      <c r="F37" s="26">
        <v>0</v>
      </c>
      <c r="G37" s="56">
        <v>0</v>
      </c>
      <c r="H37" s="56"/>
      <c r="I37" s="56">
        <v>0</v>
      </c>
      <c r="J37" s="56"/>
      <c r="K37" s="56"/>
    </row>
    <row r="38" spans="1:11" x14ac:dyDescent="0.25">
      <c r="A38" s="12" t="s">
        <v>124</v>
      </c>
      <c r="B38" s="14" t="s">
        <v>99</v>
      </c>
      <c r="C38" s="8" t="s">
        <v>75</v>
      </c>
      <c r="D38" s="26">
        <v>16237.609890000002</v>
      </c>
      <c r="E38" s="26">
        <v>15938.939870000002</v>
      </c>
      <c r="F38" s="26">
        <v>10666.849999999999</v>
      </c>
      <c r="G38" s="56">
        <v>11360.195249999997</v>
      </c>
      <c r="H38" s="55">
        <v>11426.400000000001</v>
      </c>
      <c r="I38" s="56">
        <v>11985.005988749996</v>
      </c>
      <c r="J38" s="55">
        <v>12054.852000000001</v>
      </c>
      <c r="K38" s="55">
        <v>12717.86886</v>
      </c>
    </row>
    <row r="39" spans="1:11" x14ac:dyDescent="0.25">
      <c r="A39" s="40" t="s">
        <v>125</v>
      </c>
      <c r="B39" s="44" t="s">
        <v>126</v>
      </c>
      <c r="C39" s="45" t="s">
        <v>75</v>
      </c>
      <c r="D39" s="35">
        <v>2018.1547700000001</v>
      </c>
      <c r="E39" s="35">
        <v>2410.46821</v>
      </c>
      <c r="F39" s="35">
        <v>3814.0000000000005</v>
      </c>
      <c r="G39" s="62">
        <v>4061.91</v>
      </c>
      <c r="H39" s="62">
        <v>3958.9320000000007</v>
      </c>
      <c r="I39" s="62">
        <v>4285.3150499999992</v>
      </c>
      <c r="J39" s="62">
        <v>4137.0839399999995</v>
      </c>
      <c r="K39" s="58">
        <v>4364.6235566999994</v>
      </c>
    </row>
    <row r="40" spans="1:11" ht="22.5" x14ac:dyDescent="0.25">
      <c r="A40" s="12" t="s">
        <v>127</v>
      </c>
      <c r="B40" s="15" t="s">
        <v>128</v>
      </c>
      <c r="C40" s="16" t="s">
        <v>75</v>
      </c>
      <c r="D40" s="25">
        <v>0</v>
      </c>
      <c r="E40" s="25">
        <v>0</v>
      </c>
      <c r="F40" s="25">
        <v>0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</row>
    <row r="41" spans="1:11" x14ac:dyDescent="0.25">
      <c r="A41" s="12" t="s">
        <v>129</v>
      </c>
      <c r="B41" s="15" t="s">
        <v>130</v>
      </c>
      <c r="C41" s="16" t="s">
        <v>75</v>
      </c>
      <c r="D41" s="25">
        <v>0</v>
      </c>
      <c r="E41" s="25">
        <v>0</v>
      </c>
      <c r="F41" s="25">
        <v>0</v>
      </c>
      <c r="G41" s="58">
        <v>0</v>
      </c>
      <c r="H41" s="58">
        <v>0</v>
      </c>
      <c r="I41" s="58">
        <v>0</v>
      </c>
      <c r="J41" s="58">
        <v>0</v>
      </c>
      <c r="K41" s="58">
        <v>0</v>
      </c>
    </row>
    <row r="42" spans="1:11" x14ac:dyDescent="0.25">
      <c r="A42" s="47" t="s">
        <v>131</v>
      </c>
      <c r="B42" s="48" t="s">
        <v>132</v>
      </c>
      <c r="C42" s="49" t="s">
        <v>75</v>
      </c>
      <c r="D42" s="50">
        <v>3419.7135800000106</v>
      </c>
      <c r="E42" s="46">
        <v>2611.1251950000151</v>
      </c>
      <c r="F42" s="50">
        <v>3865.067022900228</v>
      </c>
      <c r="G42" s="63">
        <v>4116.2963793887757</v>
      </c>
      <c r="H42" s="63">
        <v>4011.9395697704749</v>
      </c>
      <c r="I42" s="63">
        <v>4342.6926802551025</v>
      </c>
      <c r="J42" s="63">
        <v>4192.4768504101085</v>
      </c>
      <c r="K42" s="58">
        <v>4423.0630771826836</v>
      </c>
    </row>
    <row r="43" spans="1:11" x14ac:dyDescent="0.25">
      <c r="A43" s="12" t="s">
        <v>133</v>
      </c>
      <c r="B43" s="15" t="s">
        <v>134</v>
      </c>
      <c r="C43" s="16" t="s">
        <v>75</v>
      </c>
      <c r="D43" s="25">
        <v>0</v>
      </c>
      <c r="E43" s="25">
        <v>0</v>
      </c>
      <c r="F43" s="25">
        <v>0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</row>
    <row r="44" spans="1:11" ht="22.5" x14ac:dyDescent="0.25">
      <c r="A44" s="12" t="s">
        <v>135</v>
      </c>
      <c r="B44" s="15" t="s">
        <v>136</v>
      </c>
      <c r="C44" s="8" t="s">
        <v>75</v>
      </c>
      <c r="D44" s="26">
        <v>915.06000000000006</v>
      </c>
      <c r="E44" s="26">
        <v>1017.2386000000001</v>
      </c>
      <c r="F44" s="26">
        <v>1227.662</v>
      </c>
      <c r="G44" s="56">
        <v>1307.46</v>
      </c>
      <c r="H44" s="56">
        <v>1274.3131560000002</v>
      </c>
      <c r="I44" s="56">
        <v>1379.37</v>
      </c>
      <c r="J44" s="56">
        <v>1331.65724802</v>
      </c>
      <c r="K44" s="56">
        <v>1404.8983966610999</v>
      </c>
    </row>
    <row r="45" spans="1:11" ht="22.5" x14ac:dyDescent="0.25">
      <c r="A45" s="12" t="s">
        <v>137</v>
      </c>
      <c r="B45" s="15" t="s">
        <v>138</v>
      </c>
      <c r="C45" s="6" t="s">
        <v>75</v>
      </c>
      <c r="D45" s="25">
        <v>161.35196000000002</v>
      </c>
      <c r="E45" s="25">
        <v>255.84360000000001</v>
      </c>
      <c r="F45" s="25">
        <v>303.55199999999996</v>
      </c>
      <c r="G45" s="55">
        <v>323.28287999999992</v>
      </c>
      <c r="H45" s="55">
        <v>315.08697599999999</v>
      </c>
      <c r="I45" s="55">
        <v>341.06343839999988</v>
      </c>
      <c r="J45" s="55">
        <v>329.26588991999995</v>
      </c>
      <c r="K45" s="55">
        <v>347.37551386559994</v>
      </c>
    </row>
    <row r="46" spans="1:11" ht="22.5" x14ac:dyDescent="0.25">
      <c r="A46" s="12" t="s">
        <v>139</v>
      </c>
      <c r="B46" s="15" t="s">
        <v>140</v>
      </c>
      <c r="C46" s="6" t="s">
        <v>75</v>
      </c>
      <c r="D46" s="25">
        <v>270.86340000000001</v>
      </c>
      <c r="E46" s="25">
        <v>1108.5923</v>
      </c>
      <c r="F46" s="25">
        <v>718.626982</v>
      </c>
      <c r="G46" s="55">
        <v>765.33773582999993</v>
      </c>
      <c r="H46" s="55">
        <v>745.93480731600005</v>
      </c>
      <c r="I46" s="55">
        <v>807.4313113006499</v>
      </c>
      <c r="J46" s="55">
        <v>779.50187364522003</v>
      </c>
      <c r="K46" s="55">
        <v>822.37447669570713</v>
      </c>
    </row>
    <row r="47" spans="1:11" x14ac:dyDescent="0.25">
      <c r="A47" s="12" t="s">
        <v>141</v>
      </c>
      <c r="B47" s="15" t="s">
        <v>142</v>
      </c>
      <c r="C47" s="16" t="s">
        <v>75</v>
      </c>
      <c r="D47" s="25">
        <v>6055.4271000000008</v>
      </c>
      <c r="E47" s="25">
        <v>6214.8142149999558</v>
      </c>
      <c r="F47" s="25">
        <v>2568.7689930000001</v>
      </c>
      <c r="G47" s="58">
        <v>2735.7389775450001</v>
      </c>
      <c r="H47" s="58">
        <v>2666.3822147339997</v>
      </c>
      <c r="I47" s="58">
        <v>2886.2046213099748</v>
      </c>
      <c r="J47" s="58">
        <v>2786.3694143970301</v>
      </c>
      <c r="K47" s="58">
        <v>2939.6197321888667</v>
      </c>
    </row>
    <row r="48" spans="1:11" ht="22.5" x14ac:dyDescent="0.25">
      <c r="A48" s="17" t="s">
        <v>143</v>
      </c>
      <c r="B48" s="18" t="s">
        <v>144</v>
      </c>
      <c r="C48" s="6" t="s">
        <v>75</v>
      </c>
      <c r="D48" s="25">
        <v>0</v>
      </c>
      <c r="E48" s="25">
        <v>0</v>
      </c>
      <c r="F48" s="25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</row>
    <row r="49" spans="1:11" ht="22.5" x14ac:dyDescent="0.25">
      <c r="A49" s="17" t="s">
        <v>145</v>
      </c>
      <c r="B49" s="18" t="s">
        <v>146</v>
      </c>
      <c r="C49" s="6" t="s">
        <v>75</v>
      </c>
      <c r="D49" s="25">
        <v>0</v>
      </c>
      <c r="E49" s="25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</row>
    <row r="50" spans="1:11" ht="22.5" x14ac:dyDescent="0.25">
      <c r="A50" s="17" t="s">
        <v>147</v>
      </c>
      <c r="B50" s="18" t="s">
        <v>148</v>
      </c>
      <c r="C50" s="6" t="s">
        <v>75</v>
      </c>
      <c r="D50" s="25">
        <v>0</v>
      </c>
      <c r="E50" s="25">
        <v>0</v>
      </c>
      <c r="F50" s="25">
        <v>0</v>
      </c>
      <c r="G50" s="55"/>
      <c r="H50" s="55"/>
      <c r="I50" s="55"/>
      <c r="J50" s="55"/>
      <c r="K50" s="55"/>
    </row>
    <row r="51" spans="1:11" ht="22.5" x14ac:dyDescent="0.25">
      <c r="A51" s="17" t="s">
        <v>149</v>
      </c>
      <c r="B51" s="18" t="s">
        <v>150</v>
      </c>
      <c r="C51" s="6" t="s">
        <v>75</v>
      </c>
      <c r="D51" s="25">
        <v>0</v>
      </c>
      <c r="E51" s="25">
        <v>0</v>
      </c>
      <c r="F51" s="25">
        <v>0</v>
      </c>
      <c r="G51" s="55"/>
      <c r="H51" s="55"/>
      <c r="I51" s="55"/>
      <c r="J51" s="55"/>
      <c r="K51" s="55"/>
    </row>
    <row r="52" spans="1:11" ht="22.5" x14ac:dyDescent="0.25">
      <c r="A52" s="17" t="s">
        <v>151</v>
      </c>
      <c r="B52" s="18" t="s">
        <v>152</v>
      </c>
      <c r="C52" s="6" t="s">
        <v>75</v>
      </c>
      <c r="D52" s="25">
        <v>0</v>
      </c>
      <c r="E52" s="25">
        <v>0</v>
      </c>
      <c r="F52" s="25">
        <v>0</v>
      </c>
      <c r="G52" s="55"/>
      <c r="H52" s="55"/>
      <c r="I52" s="55"/>
      <c r="J52" s="55"/>
      <c r="K52" s="55"/>
    </row>
    <row r="53" spans="1:11" ht="22.5" x14ac:dyDescent="0.25">
      <c r="A53" s="17" t="s">
        <v>153</v>
      </c>
      <c r="B53" s="18" t="s">
        <v>154</v>
      </c>
      <c r="C53" s="6" t="s">
        <v>75</v>
      </c>
      <c r="D53" s="25">
        <v>0</v>
      </c>
      <c r="E53" s="25">
        <v>0</v>
      </c>
      <c r="F53" s="25">
        <v>0</v>
      </c>
      <c r="G53" s="55"/>
      <c r="H53" s="55"/>
      <c r="I53" s="55"/>
      <c r="J53" s="55"/>
      <c r="K53" s="55"/>
    </row>
    <row r="54" spans="1:11" ht="22.5" x14ac:dyDescent="0.25">
      <c r="A54" s="17" t="s">
        <v>155</v>
      </c>
      <c r="B54" s="18" t="s">
        <v>156</v>
      </c>
      <c r="C54" s="6" t="s">
        <v>75</v>
      </c>
      <c r="D54" s="25">
        <v>0</v>
      </c>
      <c r="E54" s="25">
        <v>0</v>
      </c>
      <c r="F54" s="25">
        <v>0</v>
      </c>
      <c r="G54" s="55"/>
      <c r="H54" s="55"/>
      <c r="I54" s="55"/>
      <c r="J54" s="55"/>
      <c r="K54" s="55"/>
    </row>
    <row r="55" spans="1:11" ht="22.5" x14ac:dyDescent="0.25">
      <c r="A55" s="17" t="s">
        <v>157</v>
      </c>
      <c r="B55" s="19" t="s">
        <v>158</v>
      </c>
      <c r="C55" s="8" t="s">
        <v>75</v>
      </c>
      <c r="D55" s="25">
        <v>0</v>
      </c>
      <c r="E55" s="25">
        <v>0</v>
      </c>
      <c r="F55" s="25">
        <v>0</v>
      </c>
      <c r="G55" s="55"/>
      <c r="H55" s="55"/>
      <c r="I55" s="55"/>
      <c r="J55" s="55"/>
      <c r="K55" s="55"/>
    </row>
    <row r="56" spans="1:11" ht="22.5" x14ac:dyDescent="0.25">
      <c r="A56" s="17" t="s">
        <v>159</v>
      </c>
      <c r="B56" s="18" t="s">
        <v>160</v>
      </c>
      <c r="C56" s="6" t="s">
        <v>75</v>
      </c>
      <c r="D56" s="25">
        <v>0</v>
      </c>
      <c r="E56" s="25">
        <v>0</v>
      </c>
      <c r="F56" s="25">
        <v>0</v>
      </c>
      <c r="G56" s="55"/>
      <c r="H56" s="55"/>
      <c r="I56" s="55"/>
      <c r="J56" s="55"/>
      <c r="K56" s="55"/>
    </row>
    <row r="57" spans="1:11" x14ac:dyDescent="0.25">
      <c r="A57" s="17" t="s">
        <v>161</v>
      </c>
      <c r="B57" s="18" t="s">
        <v>162</v>
      </c>
      <c r="C57" s="6" t="s">
        <v>75</v>
      </c>
      <c r="D57" s="25">
        <v>0</v>
      </c>
      <c r="E57" s="25">
        <v>0</v>
      </c>
      <c r="F57" s="25">
        <v>75</v>
      </c>
      <c r="G57" s="56">
        <v>79.875</v>
      </c>
      <c r="H57" s="56">
        <v>77.850000000000009</v>
      </c>
      <c r="I57" s="56">
        <v>84.268124999999998</v>
      </c>
      <c r="J57" s="56">
        <v>81.353250000000003</v>
      </c>
      <c r="K57" s="56">
        <v>85.827678750000004</v>
      </c>
    </row>
    <row r="58" spans="1:11" x14ac:dyDescent="0.25">
      <c r="A58" s="17" t="s">
        <v>163</v>
      </c>
      <c r="B58" s="18" t="s">
        <v>164</v>
      </c>
      <c r="C58" s="6" t="s">
        <v>75</v>
      </c>
      <c r="D58" s="25">
        <v>0</v>
      </c>
      <c r="E58" s="25">
        <v>0</v>
      </c>
      <c r="F58" s="25">
        <v>0</v>
      </c>
      <c r="G58" s="56">
        <v>0</v>
      </c>
      <c r="H58" s="56"/>
      <c r="I58" s="56">
        <v>0</v>
      </c>
      <c r="J58" s="56"/>
      <c r="K58" s="56"/>
    </row>
    <row r="59" spans="1:11" x14ac:dyDescent="0.25">
      <c r="A59" s="17" t="s">
        <v>165</v>
      </c>
      <c r="B59" s="18" t="s">
        <v>166</v>
      </c>
      <c r="C59" s="6" t="s">
        <v>75</v>
      </c>
      <c r="D59" s="25">
        <v>0</v>
      </c>
      <c r="E59" s="25">
        <v>0</v>
      </c>
      <c r="F59" s="25">
        <v>0</v>
      </c>
      <c r="G59" s="56">
        <v>0</v>
      </c>
      <c r="H59" s="56"/>
      <c r="I59" s="56">
        <v>0</v>
      </c>
      <c r="J59" s="56"/>
      <c r="K59" s="56"/>
    </row>
    <row r="60" spans="1:11" x14ac:dyDescent="0.25">
      <c r="A60" s="17" t="s">
        <v>167</v>
      </c>
      <c r="B60" s="18" t="s">
        <v>168</v>
      </c>
      <c r="C60" s="6" t="s">
        <v>75</v>
      </c>
      <c r="D60" s="25">
        <v>463.16698999999994</v>
      </c>
      <c r="E60" s="25">
        <v>9.8783599999999989</v>
      </c>
      <c r="F60" s="25">
        <v>80</v>
      </c>
      <c r="G60" s="56">
        <v>85.199999999999989</v>
      </c>
      <c r="H60" s="56">
        <v>83.04</v>
      </c>
      <c r="I60" s="56">
        <v>89.885999999999981</v>
      </c>
      <c r="J60" s="56">
        <v>86.776799999999994</v>
      </c>
      <c r="K60" s="56">
        <v>91.549523999999991</v>
      </c>
    </row>
    <row r="61" spans="1:11" x14ac:dyDescent="0.25">
      <c r="A61" s="17" t="s">
        <v>169</v>
      </c>
      <c r="B61" s="18" t="s">
        <v>170</v>
      </c>
      <c r="C61" s="6" t="s">
        <v>75</v>
      </c>
      <c r="D61" s="25">
        <v>295.85536999999999</v>
      </c>
      <c r="E61" s="25">
        <v>736.03590999999994</v>
      </c>
      <c r="F61" s="25">
        <v>120</v>
      </c>
      <c r="G61" s="56">
        <v>127.8</v>
      </c>
      <c r="H61" s="56">
        <v>124.56</v>
      </c>
      <c r="I61" s="56">
        <v>134.82899999999998</v>
      </c>
      <c r="J61" s="56">
        <v>130.1652</v>
      </c>
      <c r="K61" s="56">
        <v>137.324286</v>
      </c>
    </row>
    <row r="62" spans="1:11" x14ac:dyDescent="0.25">
      <c r="A62" s="17" t="s">
        <v>171</v>
      </c>
      <c r="B62" s="18" t="s">
        <v>172</v>
      </c>
      <c r="C62" s="6" t="s">
        <v>75</v>
      </c>
      <c r="D62" s="25">
        <v>0</v>
      </c>
      <c r="E62" s="25">
        <v>0</v>
      </c>
      <c r="F62" s="25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</row>
    <row r="63" spans="1:11" ht="22.5" x14ac:dyDescent="0.25">
      <c r="A63" s="17" t="s">
        <v>173</v>
      </c>
      <c r="B63" s="18" t="s">
        <v>174</v>
      </c>
      <c r="C63" s="6" t="s">
        <v>75</v>
      </c>
      <c r="D63" s="25">
        <v>0</v>
      </c>
      <c r="E63" s="25">
        <v>0</v>
      </c>
      <c r="F63" s="25">
        <v>0</v>
      </c>
      <c r="G63" s="55"/>
      <c r="H63" s="55"/>
      <c r="I63" s="55"/>
      <c r="J63" s="55"/>
      <c r="K63" s="55"/>
    </row>
    <row r="64" spans="1:11" x14ac:dyDescent="0.25">
      <c r="A64" s="17" t="s">
        <v>175</v>
      </c>
      <c r="B64" s="18" t="s">
        <v>176</v>
      </c>
      <c r="C64" s="6" t="s">
        <v>75</v>
      </c>
      <c r="D64" s="25">
        <v>0</v>
      </c>
      <c r="E64" s="25">
        <v>0</v>
      </c>
      <c r="F64" s="25">
        <v>0</v>
      </c>
      <c r="G64" s="57">
        <v>0</v>
      </c>
      <c r="H64" s="57">
        <v>0</v>
      </c>
      <c r="I64" s="57">
        <v>0</v>
      </c>
      <c r="J64" s="57">
        <v>0</v>
      </c>
      <c r="K64" s="57">
        <v>0</v>
      </c>
    </row>
    <row r="65" spans="1:11" ht="23.25" thickBot="1" x14ac:dyDescent="0.3">
      <c r="A65" s="17" t="s">
        <v>177</v>
      </c>
      <c r="B65" s="20" t="s">
        <v>178</v>
      </c>
      <c r="C65" s="21" t="s">
        <v>75</v>
      </c>
      <c r="D65" s="27">
        <v>5296.4047399999999</v>
      </c>
      <c r="E65" s="27">
        <v>5468.8999449999556</v>
      </c>
      <c r="F65" s="54">
        <v>2293.7689930000001</v>
      </c>
      <c r="G65" s="59">
        <v>2442.8639775450001</v>
      </c>
      <c r="H65" s="59">
        <v>2380.9322147339999</v>
      </c>
      <c r="I65" s="59">
        <v>2577.221496309975</v>
      </c>
      <c r="J65" s="59">
        <v>2488.07416439703</v>
      </c>
      <c r="K65" s="59">
        <v>2624.9182434388667</v>
      </c>
    </row>
    <row r="66" spans="1:11" ht="15.75" thickBot="1" x14ac:dyDescent="0.3">
      <c r="A66" s="10" t="s">
        <v>179</v>
      </c>
      <c r="B66" s="22" t="s">
        <v>180</v>
      </c>
      <c r="C66" s="11" t="s">
        <v>75</v>
      </c>
      <c r="D66" s="27">
        <v>261443.03333999997</v>
      </c>
      <c r="E66" s="27">
        <v>273088.53869000007</v>
      </c>
      <c r="F66" s="27">
        <v>253478.53612209996</v>
      </c>
      <c r="G66" s="28">
        <v>298568.98697300721</v>
      </c>
      <c r="H66" s="28">
        <v>298694.40072895051</v>
      </c>
      <c r="I66" s="28">
        <v>340276.55852405936</v>
      </c>
      <c r="J66" s="28">
        <v>343393.07794321777</v>
      </c>
      <c r="K66" s="28">
        <v>372351.59082009469</v>
      </c>
    </row>
    <row r="68" spans="1:11" x14ac:dyDescent="0.25">
      <c r="B68" s="30" t="s">
        <v>182</v>
      </c>
      <c r="D68" s="31" t="e">
        <v>#REF!</v>
      </c>
      <c r="E68" s="31" t="e">
        <v>#REF!</v>
      </c>
      <c r="F68" s="31" t="e">
        <v>#REF!</v>
      </c>
      <c r="G68" s="31" t="e">
        <v>#REF!</v>
      </c>
      <c r="H68" s="31" t="e">
        <v>#REF!</v>
      </c>
      <c r="I68" s="31" t="e">
        <v>#REF!</v>
      </c>
      <c r="J68" s="31" t="e">
        <v>#REF!</v>
      </c>
      <c r="K68" s="31" t="e">
        <v>#REF!</v>
      </c>
    </row>
    <row r="69" spans="1:11" x14ac:dyDescent="0.25">
      <c r="B69" s="30" t="s">
        <v>183</v>
      </c>
      <c r="D69" s="31" t="e">
        <v>#REF!</v>
      </c>
      <c r="E69" s="31" t="e">
        <v>#REF!</v>
      </c>
      <c r="F69" s="31" t="e">
        <v>#REF!</v>
      </c>
      <c r="G69" s="31" t="e">
        <v>#REF!</v>
      </c>
      <c r="H69" s="31" t="e">
        <v>#REF!</v>
      </c>
      <c r="I69" s="31" t="e">
        <v>#REF!</v>
      </c>
      <c r="J69" s="31" t="e">
        <v>#REF!</v>
      </c>
      <c r="K69" s="31" t="e">
        <v>#REF!</v>
      </c>
    </row>
    <row r="70" spans="1:11" x14ac:dyDescent="0.25">
      <c r="B70" s="30" t="s">
        <v>184</v>
      </c>
      <c r="D70" s="31" t="e">
        <v>#REF!</v>
      </c>
      <c r="E70" s="31" t="e">
        <v>#REF!</v>
      </c>
      <c r="F70" s="31" t="e">
        <v>#REF!</v>
      </c>
      <c r="G70" s="31" t="e">
        <v>#REF!</v>
      </c>
      <c r="H70" s="31" t="e">
        <v>#REF!</v>
      </c>
      <c r="I70" s="31" t="e">
        <v>#REF!</v>
      </c>
      <c r="J70" s="31" t="e">
        <v>#REF!</v>
      </c>
      <c r="K70" s="31" t="e">
        <v>#REF!</v>
      </c>
    </row>
    <row r="71" spans="1:11" x14ac:dyDescent="0.25">
      <c r="B71" s="30" t="s">
        <v>185</v>
      </c>
      <c r="D71" s="31" t="e">
        <v>#REF!</v>
      </c>
      <c r="E71" s="31" t="e">
        <v>#REF!</v>
      </c>
      <c r="F71" s="31" t="e">
        <v>#REF!</v>
      </c>
      <c r="G71" s="31" t="e">
        <v>#REF!</v>
      </c>
      <c r="H71" s="31" t="e">
        <v>#REF!</v>
      </c>
      <c r="I71" s="31" t="e">
        <v>#REF!</v>
      </c>
      <c r="J71" s="31" t="e">
        <v>#REF!</v>
      </c>
      <c r="K71" s="31" t="e">
        <v>#REF!</v>
      </c>
    </row>
    <row r="73" spans="1:11" x14ac:dyDescent="0.25">
      <c r="B73" s="30" t="s">
        <v>182</v>
      </c>
      <c r="D73" s="31" t="e">
        <f>D68/1000</f>
        <v>#REF!</v>
      </c>
      <c r="E73" s="31" t="e">
        <f>#N/A</f>
        <v>#N/A</v>
      </c>
      <c r="F73" s="31" t="e">
        <f>#N/A</f>
        <v>#N/A</v>
      </c>
      <c r="G73" s="31" t="e">
        <f>#N/A</f>
        <v>#N/A</v>
      </c>
      <c r="H73" s="31" t="e">
        <f>#N/A</f>
        <v>#N/A</v>
      </c>
      <c r="I73" s="31" t="e">
        <f>#N/A</f>
        <v>#N/A</v>
      </c>
      <c r="J73" s="31" t="e">
        <f>#N/A</f>
        <v>#N/A</v>
      </c>
      <c r="K73" s="31" t="e">
        <f>#N/A</f>
        <v>#N/A</v>
      </c>
    </row>
    <row r="74" spans="1:11" x14ac:dyDescent="0.25">
      <c r="B74" s="30" t="s">
        <v>183</v>
      </c>
      <c r="D74" s="31" t="e">
        <f>#N/A</f>
        <v>#N/A</v>
      </c>
      <c r="E74" s="31" t="e">
        <f>#N/A</f>
        <v>#N/A</v>
      </c>
      <c r="F74" s="31" t="e">
        <f>#N/A</f>
        <v>#N/A</v>
      </c>
      <c r="G74" s="31" t="e">
        <f>#N/A</f>
        <v>#N/A</v>
      </c>
      <c r="H74" s="31" t="e">
        <f>#N/A</f>
        <v>#N/A</v>
      </c>
      <c r="I74" s="31" t="e">
        <f>#N/A</f>
        <v>#N/A</v>
      </c>
      <c r="J74" s="31" t="e">
        <f>#N/A</f>
        <v>#N/A</v>
      </c>
      <c r="K74" s="31" t="e">
        <f>#N/A</f>
        <v>#N/A</v>
      </c>
    </row>
    <row r="75" spans="1:11" x14ac:dyDescent="0.25">
      <c r="B75" s="30" t="s">
        <v>184</v>
      </c>
      <c r="D75" s="31" t="e">
        <f>#N/A</f>
        <v>#N/A</v>
      </c>
      <c r="E75" s="31" t="e">
        <f>#N/A</f>
        <v>#N/A</v>
      </c>
      <c r="F75" s="31" t="e">
        <f>#N/A</f>
        <v>#N/A</v>
      </c>
      <c r="G75" s="31" t="e">
        <f>#N/A</f>
        <v>#N/A</v>
      </c>
      <c r="H75" s="31" t="e">
        <f>#N/A</f>
        <v>#N/A</v>
      </c>
      <c r="I75" s="31" t="e">
        <f>#N/A</f>
        <v>#N/A</v>
      </c>
      <c r="J75" s="31" t="e">
        <f>#N/A</f>
        <v>#N/A</v>
      </c>
      <c r="K75" s="31" t="e">
        <f>#N/A</f>
        <v>#N/A</v>
      </c>
    </row>
    <row r="76" spans="1:11" x14ac:dyDescent="0.25">
      <c r="B76" s="30" t="s">
        <v>185</v>
      </c>
      <c r="D76" s="31" t="e">
        <f>#N/A</f>
        <v>#N/A</v>
      </c>
      <c r="E76" s="31" t="e">
        <f>#N/A</f>
        <v>#N/A</v>
      </c>
      <c r="F76" s="31" t="e">
        <f>#N/A</f>
        <v>#N/A</v>
      </c>
      <c r="G76" s="31" t="e">
        <f>#N/A</f>
        <v>#N/A</v>
      </c>
      <c r="H76" s="31" t="e">
        <f>#N/A</f>
        <v>#N/A</v>
      </c>
      <c r="I76" s="31" t="e">
        <f>#N/A</f>
        <v>#N/A</v>
      </c>
      <c r="J76" s="31" t="e">
        <f>#N/A</f>
        <v>#N/A</v>
      </c>
      <c r="K76" s="31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51" t="s">
        <v>486</v>
      </c>
      <c r="B6" s="251" t="s">
        <v>487</v>
      </c>
      <c r="C6" s="251" t="s">
        <v>488</v>
      </c>
      <c r="D6" s="251" t="s">
        <v>489</v>
      </c>
      <c r="E6" s="251" t="s">
        <v>490</v>
      </c>
      <c r="F6" s="251" t="s">
        <v>491</v>
      </c>
      <c r="G6" s="252" t="s">
        <v>492</v>
      </c>
    </row>
    <row r="7" spans="1:7" ht="16.5" thickBot="1" x14ac:dyDescent="0.3">
      <c r="A7" s="253" t="s">
        <v>493</v>
      </c>
      <c r="B7" s="253" t="s">
        <v>494</v>
      </c>
      <c r="C7" s="254">
        <v>177804.3</v>
      </c>
      <c r="D7" s="254">
        <v>165103.20000000001</v>
      </c>
      <c r="E7" s="254">
        <v>144082.29999999999</v>
      </c>
      <c r="F7" s="254">
        <v>190896.9</v>
      </c>
      <c r="G7" s="254">
        <v>677886.9</v>
      </c>
    </row>
    <row r="8" spans="1:7" ht="16.5" thickBot="1" x14ac:dyDescent="0.3">
      <c r="A8" s="255">
        <v>1</v>
      </c>
      <c r="B8" s="256" t="s">
        <v>495</v>
      </c>
      <c r="C8" s="254">
        <v>98373.3</v>
      </c>
      <c r="D8" s="254">
        <v>86029.1</v>
      </c>
      <c r="E8" s="254">
        <v>105465.3</v>
      </c>
      <c r="F8" s="254">
        <v>153072.9</v>
      </c>
      <c r="G8" s="254">
        <v>442940.6</v>
      </c>
    </row>
    <row r="9" spans="1:7" ht="16.5" thickBot="1" x14ac:dyDescent="0.3">
      <c r="A9" s="253" t="s">
        <v>242</v>
      </c>
      <c r="B9" s="256" t="s">
        <v>496</v>
      </c>
      <c r="C9" s="254">
        <v>6997.5</v>
      </c>
      <c r="D9" s="254">
        <v>6172.9</v>
      </c>
      <c r="E9" s="254">
        <v>19737</v>
      </c>
      <c r="F9" s="254">
        <v>65231.7</v>
      </c>
      <c r="G9" s="254">
        <v>98139.199999999997</v>
      </c>
    </row>
    <row r="10" spans="1:7" ht="32.25" thickBot="1" x14ac:dyDescent="0.3">
      <c r="A10" s="253" t="s">
        <v>471</v>
      </c>
      <c r="B10" s="256" t="s">
        <v>200</v>
      </c>
      <c r="C10" s="257"/>
      <c r="D10" s="257"/>
      <c r="E10" s="257"/>
      <c r="F10" s="257"/>
      <c r="G10" s="254">
        <v>0</v>
      </c>
    </row>
    <row r="11" spans="1:7" ht="16.5" thickBot="1" x14ac:dyDescent="0.3">
      <c r="A11" s="253" t="s">
        <v>472</v>
      </c>
      <c r="B11" s="256" t="s">
        <v>202</v>
      </c>
      <c r="C11" s="257"/>
      <c r="D11" s="257"/>
      <c r="E11" s="257"/>
      <c r="F11" s="257"/>
      <c r="G11" s="254">
        <v>0</v>
      </c>
    </row>
    <row r="12" spans="1:7" ht="16.5" thickBot="1" x14ac:dyDescent="0.3">
      <c r="A12" s="253" t="s">
        <v>473</v>
      </c>
      <c r="B12" s="256" t="s">
        <v>497</v>
      </c>
      <c r="C12" s="257"/>
      <c r="D12" s="257"/>
      <c r="E12" s="257"/>
      <c r="F12" s="257"/>
      <c r="G12" s="254">
        <v>0</v>
      </c>
    </row>
    <row r="13" spans="1:7" ht="16.5" thickBot="1" x14ac:dyDescent="0.3">
      <c r="A13" s="253" t="s">
        <v>474</v>
      </c>
      <c r="B13" s="256" t="s">
        <v>498</v>
      </c>
      <c r="C13" s="254">
        <v>6997.5</v>
      </c>
      <c r="D13" s="254">
        <v>6172.9</v>
      </c>
      <c r="E13" s="254">
        <v>19737</v>
      </c>
      <c r="F13" s="254">
        <v>65231.7</v>
      </c>
      <c r="G13" s="254">
        <v>98139.199999999997</v>
      </c>
    </row>
    <row r="14" spans="1:7" ht="16.5" thickBot="1" x14ac:dyDescent="0.3">
      <c r="A14" s="253"/>
      <c r="B14" s="256" t="s">
        <v>499</v>
      </c>
      <c r="C14" s="254">
        <v>6997.5</v>
      </c>
      <c r="D14" s="254">
        <v>6172.9</v>
      </c>
      <c r="E14" s="254">
        <v>19737</v>
      </c>
      <c r="F14" s="254">
        <v>49424.1</v>
      </c>
      <c r="G14" s="254">
        <v>82331.600000000006</v>
      </c>
    </row>
    <row r="15" spans="1:7" ht="16.5" thickBot="1" x14ac:dyDescent="0.3">
      <c r="A15" s="253"/>
      <c r="B15" s="256" t="s">
        <v>500</v>
      </c>
      <c r="C15" s="257"/>
      <c r="D15" s="257"/>
      <c r="E15" s="257"/>
      <c r="F15" s="254">
        <v>15807.6</v>
      </c>
      <c r="G15" s="254">
        <v>15807.6</v>
      </c>
    </row>
    <row r="16" spans="1:7" ht="16.5" thickBot="1" x14ac:dyDescent="0.3">
      <c r="A16" s="253" t="s">
        <v>244</v>
      </c>
      <c r="B16" s="256" t="s">
        <v>501</v>
      </c>
      <c r="C16" s="254">
        <v>38021</v>
      </c>
      <c r="D16" s="254">
        <v>48757.9</v>
      </c>
      <c r="E16" s="254">
        <v>55334</v>
      </c>
      <c r="F16" s="254">
        <v>60440.2</v>
      </c>
      <c r="G16" s="254">
        <v>202553</v>
      </c>
    </row>
    <row r="17" spans="1:7" ht="32.25" thickBot="1" x14ac:dyDescent="0.3">
      <c r="A17" s="253" t="s">
        <v>475</v>
      </c>
      <c r="B17" s="256" t="s">
        <v>324</v>
      </c>
      <c r="C17" s="257"/>
      <c r="D17" s="257"/>
      <c r="E17" s="257"/>
      <c r="F17" s="257"/>
      <c r="G17" s="254">
        <v>0</v>
      </c>
    </row>
    <row r="18" spans="1:7" ht="32.25" thickBot="1" x14ac:dyDescent="0.3">
      <c r="A18" s="253" t="s">
        <v>476</v>
      </c>
      <c r="B18" s="260" t="s">
        <v>502</v>
      </c>
      <c r="C18" s="261">
        <v>37479.4</v>
      </c>
      <c r="D18" s="261">
        <v>48108.2</v>
      </c>
      <c r="E18" s="261">
        <v>54669.4</v>
      </c>
      <c r="F18" s="261">
        <v>59784</v>
      </c>
      <c r="G18" s="261">
        <v>200041</v>
      </c>
    </row>
    <row r="19" spans="1:7" ht="16.5" thickBot="1" x14ac:dyDescent="0.3">
      <c r="A19" s="253"/>
      <c r="B19" s="260" t="s">
        <v>503</v>
      </c>
      <c r="C19" s="261">
        <v>24774.400000000001</v>
      </c>
      <c r="D19" s="261">
        <v>28568.3</v>
      </c>
      <c r="E19" s="261">
        <v>30947.7</v>
      </c>
      <c r="F19" s="261">
        <v>30095.4</v>
      </c>
      <c r="G19" s="261">
        <v>114385.7</v>
      </c>
    </row>
    <row r="20" spans="1:7" ht="16.5" thickBot="1" x14ac:dyDescent="0.3">
      <c r="A20" s="253"/>
      <c r="B20" s="260" t="s">
        <v>504</v>
      </c>
      <c r="C20" s="261">
        <v>12704.9</v>
      </c>
      <c r="D20" s="261">
        <v>19539.900000000001</v>
      </c>
      <c r="E20" s="261">
        <v>23721.7</v>
      </c>
      <c r="F20" s="261">
        <v>29688.7</v>
      </c>
      <c r="G20" s="261">
        <v>85655.3</v>
      </c>
    </row>
    <row r="21" spans="1:7" ht="32.25" thickBot="1" x14ac:dyDescent="0.3">
      <c r="A21" s="253" t="s">
        <v>477</v>
      </c>
      <c r="B21" s="256" t="s">
        <v>505</v>
      </c>
      <c r="C21" s="254">
        <v>541.6</v>
      </c>
      <c r="D21" s="254">
        <v>649.70000000000005</v>
      </c>
      <c r="E21" s="254">
        <v>664.5</v>
      </c>
      <c r="F21" s="254">
        <v>656.1</v>
      </c>
      <c r="G21" s="254">
        <v>2512</v>
      </c>
    </row>
    <row r="22" spans="1:7" ht="16.5" thickBot="1" x14ac:dyDescent="0.3">
      <c r="A22" s="253" t="s">
        <v>506</v>
      </c>
      <c r="B22" s="256" t="s">
        <v>217</v>
      </c>
      <c r="C22" s="257"/>
      <c r="D22" s="258">
        <v>0</v>
      </c>
      <c r="E22" s="258">
        <v>0</v>
      </c>
      <c r="F22" s="258">
        <v>0</v>
      </c>
      <c r="G22" s="258">
        <v>0</v>
      </c>
    </row>
    <row r="23" spans="1:7" ht="16.5" thickBot="1" x14ac:dyDescent="0.3">
      <c r="A23" s="253" t="s">
        <v>250</v>
      </c>
      <c r="B23" s="256" t="s">
        <v>218</v>
      </c>
      <c r="C23" s="262"/>
      <c r="D23" s="263"/>
      <c r="E23" s="263"/>
      <c r="F23" s="263"/>
      <c r="G23" s="264">
        <v>0</v>
      </c>
    </row>
    <row r="24" spans="1:7" ht="16.5" thickBot="1" x14ac:dyDescent="0.3">
      <c r="A24" s="253" t="s">
        <v>478</v>
      </c>
      <c r="B24" s="256" t="s">
        <v>507</v>
      </c>
      <c r="C24" s="254">
        <v>53354.7</v>
      </c>
      <c r="D24" s="265">
        <v>31098.3</v>
      </c>
      <c r="E24" s="265">
        <v>30394.3</v>
      </c>
      <c r="F24" s="265">
        <v>27401</v>
      </c>
      <c r="G24" s="265">
        <v>142248.4</v>
      </c>
    </row>
    <row r="25" spans="1:7" ht="16.5" thickBot="1" x14ac:dyDescent="0.3">
      <c r="A25" s="253" t="s">
        <v>71</v>
      </c>
      <c r="B25" s="256" t="s">
        <v>219</v>
      </c>
      <c r="C25" s="257"/>
      <c r="D25" s="257"/>
      <c r="E25" s="257"/>
      <c r="F25" s="257"/>
      <c r="G25" s="254">
        <v>0</v>
      </c>
    </row>
    <row r="26" spans="1:7" ht="16.5" thickBot="1" x14ac:dyDescent="0.3">
      <c r="A26" s="253" t="s">
        <v>342</v>
      </c>
      <c r="B26" s="256" t="s">
        <v>508</v>
      </c>
      <c r="C26" s="254">
        <v>53354.7</v>
      </c>
      <c r="D26" s="254">
        <v>31098.3</v>
      </c>
      <c r="E26" s="254">
        <v>30394.3</v>
      </c>
      <c r="F26" s="254">
        <v>27401</v>
      </c>
      <c r="G26" s="254">
        <v>142248.4</v>
      </c>
    </row>
    <row r="27" spans="1:7" ht="16.5" thickBot="1" x14ac:dyDescent="0.3">
      <c r="A27" s="253"/>
      <c r="B27" s="256" t="s">
        <v>509</v>
      </c>
      <c r="C27" s="254">
        <v>53354.7</v>
      </c>
      <c r="D27" s="254">
        <v>31098.3</v>
      </c>
      <c r="E27" s="254">
        <v>30394.3</v>
      </c>
      <c r="F27" s="254">
        <v>27401</v>
      </c>
      <c r="G27" s="254">
        <v>142248.4</v>
      </c>
    </row>
    <row r="28" spans="1:7" ht="16.5" thickBot="1" x14ac:dyDescent="0.3">
      <c r="A28" s="253"/>
      <c r="B28" s="256" t="s">
        <v>510</v>
      </c>
      <c r="C28" s="254">
        <v>0</v>
      </c>
      <c r="D28" s="254">
        <v>0</v>
      </c>
      <c r="E28" s="254">
        <v>0</v>
      </c>
      <c r="F28" s="254">
        <v>0</v>
      </c>
      <c r="G28" s="254">
        <v>0</v>
      </c>
    </row>
    <row r="29" spans="1:7" ht="16.5" thickBot="1" x14ac:dyDescent="0.3">
      <c r="A29" s="253" t="s">
        <v>511</v>
      </c>
      <c r="B29" s="256" t="s">
        <v>512</v>
      </c>
      <c r="C29" s="257"/>
      <c r="D29" s="257"/>
      <c r="E29" s="257"/>
      <c r="F29" s="257"/>
      <c r="G29" s="254">
        <v>0</v>
      </c>
    </row>
    <row r="30" spans="1:7" ht="16.5" thickBot="1" x14ac:dyDescent="0.3">
      <c r="A30" s="253" t="s">
        <v>479</v>
      </c>
      <c r="B30" s="256" t="s">
        <v>220</v>
      </c>
      <c r="C30" s="257"/>
      <c r="D30" s="257"/>
      <c r="E30" s="257"/>
      <c r="F30" s="257"/>
      <c r="G30" s="254">
        <v>0</v>
      </c>
    </row>
    <row r="31" spans="1:7" ht="16.5" thickBot="1" x14ac:dyDescent="0.3">
      <c r="A31" s="253" t="s">
        <v>513</v>
      </c>
      <c r="B31" s="256" t="s">
        <v>514</v>
      </c>
      <c r="C31" s="254">
        <v>79431.100000000006</v>
      </c>
      <c r="D31" s="254">
        <v>79074.2</v>
      </c>
      <c r="E31" s="254">
        <v>38617</v>
      </c>
      <c r="F31" s="254">
        <v>37824</v>
      </c>
      <c r="G31" s="254">
        <v>234946.2</v>
      </c>
    </row>
    <row r="32" spans="1:7" ht="16.5" thickBot="1" x14ac:dyDescent="0.3">
      <c r="A32" s="253" t="s">
        <v>271</v>
      </c>
      <c r="B32" s="256" t="s">
        <v>222</v>
      </c>
      <c r="C32" s="254">
        <v>55900.9</v>
      </c>
      <c r="D32" s="254">
        <v>40560.199999999997</v>
      </c>
      <c r="E32" s="254">
        <v>0</v>
      </c>
      <c r="F32" s="254">
        <v>0</v>
      </c>
      <c r="G32" s="254">
        <v>96461.1</v>
      </c>
    </row>
    <row r="33" spans="1:7" ht="16.5" thickBot="1" x14ac:dyDescent="0.3">
      <c r="A33" s="253" t="s">
        <v>480</v>
      </c>
      <c r="B33" s="256" t="s">
        <v>223</v>
      </c>
      <c r="C33" s="257"/>
      <c r="D33" s="257"/>
      <c r="E33" s="257"/>
      <c r="F33" s="257"/>
      <c r="G33" s="254">
        <v>0</v>
      </c>
    </row>
    <row r="34" spans="1:7" ht="16.5" thickBot="1" x14ac:dyDescent="0.3">
      <c r="A34" s="253" t="s">
        <v>481</v>
      </c>
      <c r="B34" s="256" t="s">
        <v>224</v>
      </c>
      <c r="C34" s="257"/>
      <c r="D34" s="257"/>
      <c r="E34" s="257"/>
      <c r="F34" s="257"/>
      <c r="G34" s="254">
        <v>0</v>
      </c>
    </row>
    <row r="35" spans="1:7" ht="16.5" thickBot="1" x14ac:dyDescent="0.3">
      <c r="A35" s="253" t="s">
        <v>482</v>
      </c>
      <c r="B35" s="256" t="s">
        <v>225</v>
      </c>
      <c r="C35" s="254">
        <v>23530.1</v>
      </c>
      <c r="D35" s="254">
        <v>38514</v>
      </c>
      <c r="E35" s="254">
        <v>38617</v>
      </c>
      <c r="F35" s="254">
        <v>37824</v>
      </c>
      <c r="G35" s="254">
        <v>138485.1</v>
      </c>
    </row>
    <row r="36" spans="1:7" ht="16.5" thickBot="1" x14ac:dyDescent="0.3">
      <c r="A36" s="253"/>
      <c r="B36" s="256" t="s">
        <v>226</v>
      </c>
      <c r="C36" s="254">
        <v>23530.1</v>
      </c>
      <c r="D36" s="254">
        <v>38514</v>
      </c>
      <c r="E36" s="254">
        <v>38617</v>
      </c>
      <c r="F36" s="254">
        <v>37824</v>
      </c>
      <c r="G36" s="254">
        <v>138485.1</v>
      </c>
    </row>
    <row r="37" spans="1:7" ht="32.25" thickBot="1" x14ac:dyDescent="0.3">
      <c r="A37" s="253"/>
      <c r="B37" s="256" t="s">
        <v>227</v>
      </c>
      <c r="C37" s="257"/>
      <c r="D37" s="257"/>
      <c r="E37" s="257"/>
      <c r="F37" s="257"/>
      <c r="G37" s="254">
        <v>0</v>
      </c>
    </row>
    <row r="38" spans="1:7" ht="16.5" thickBot="1" x14ac:dyDescent="0.3">
      <c r="A38" s="253"/>
      <c r="B38" s="256" t="s">
        <v>228</v>
      </c>
      <c r="C38" s="257"/>
      <c r="D38" s="257"/>
      <c r="E38" s="257"/>
      <c r="F38" s="257"/>
      <c r="G38" s="254">
        <v>0</v>
      </c>
    </row>
    <row r="39" spans="1:7" ht="32.25" thickBot="1" x14ac:dyDescent="0.3">
      <c r="A39" s="253"/>
      <c r="B39" s="259" t="s">
        <v>229</v>
      </c>
      <c r="C39" s="257"/>
      <c r="D39" s="257"/>
      <c r="E39" s="257"/>
      <c r="F39" s="257"/>
      <c r="G39" s="254">
        <v>0</v>
      </c>
    </row>
    <row r="40" spans="1:7" ht="16.5" thickBot="1" x14ac:dyDescent="0.3">
      <c r="A40" s="253" t="s">
        <v>483</v>
      </c>
      <c r="B40" s="256" t="s">
        <v>230</v>
      </c>
      <c r="C40" s="257"/>
      <c r="D40" s="257"/>
      <c r="E40" s="257"/>
      <c r="F40" s="257"/>
      <c r="G40" s="254">
        <v>0</v>
      </c>
    </row>
    <row r="41" spans="1:7" ht="16.5" thickBot="1" x14ac:dyDescent="0.3">
      <c r="A41" s="253" t="s">
        <v>484</v>
      </c>
      <c r="B41" s="256" t="s">
        <v>231</v>
      </c>
      <c r="C41" s="257"/>
      <c r="D41" s="257"/>
      <c r="E41" s="257"/>
      <c r="F41" s="257"/>
      <c r="G41" s="254">
        <v>0</v>
      </c>
    </row>
    <row r="42" spans="1:7" ht="16.5" thickBot="1" x14ac:dyDescent="0.3">
      <c r="A42" s="253" t="s">
        <v>485</v>
      </c>
      <c r="B42" s="256" t="s">
        <v>232</v>
      </c>
      <c r="C42" s="257"/>
      <c r="D42" s="257"/>
      <c r="E42" s="257"/>
      <c r="F42" s="257"/>
      <c r="G42" s="254">
        <v>0</v>
      </c>
    </row>
    <row r="43" spans="1:7" ht="16.5" thickBot="1" x14ac:dyDescent="0.3">
      <c r="A43" s="253" t="s">
        <v>515</v>
      </c>
      <c r="B43" s="256" t="s">
        <v>516</v>
      </c>
      <c r="C43" s="254">
        <v>177804.3</v>
      </c>
      <c r="D43" s="254">
        <v>165103.20000000001</v>
      </c>
      <c r="E43" s="254">
        <v>144082.29999999999</v>
      </c>
      <c r="F43" s="254">
        <v>190896.9</v>
      </c>
      <c r="G43" s="254">
        <v>677886.8</v>
      </c>
    </row>
    <row r="44" spans="1:7" ht="16.5" thickBot="1" x14ac:dyDescent="0.3">
      <c r="A44" s="253" t="s">
        <v>517</v>
      </c>
      <c r="B44" s="256" t="s">
        <v>518</v>
      </c>
      <c r="C44" s="254">
        <v>0</v>
      </c>
      <c r="D44" s="254">
        <v>0</v>
      </c>
      <c r="E44" s="254">
        <v>0</v>
      </c>
      <c r="F44" s="254">
        <v>0</v>
      </c>
      <c r="G44" s="254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Z467"/>
  <sheetViews>
    <sheetView tabSelected="1" view="pageBreakPreview" topLeftCell="B14" zoomScale="82" zoomScaleNormal="100" zoomScaleSheetLayoutView="82" workbookViewId="0">
      <pane xSplit="7695" ySplit="2280" topLeftCell="I449" activePane="bottomRight"/>
      <selection activeCell="B10" sqref="B10"/>
      <selection pane="topRight" activeCell="R32" activeCellId="2" sqref="R24 R26 R32"/>
      <selection pane="bottomLeft" activeCell="B57" sqref="B57"/>
      <selection pane="bottomRight" activeCell="J456" sqref="J456"/>
    </sheetView>
  </sheetViews>
  <sheetFormatPr defaultColWidth="10.28515625" defaultRowHeight="15.75" x14ac:dyDescent="0.25"/>
  <cols>
    <col min="1" max="1" width="10.140625" style="279" customWidth="1"/>
    <col min="2" max="2" width="85.28515625" style="272" customWidth="1"/>
    <col min="3" max="4" width="12.28515625" style="273" customWidth="1"/>
    <col min="5" max="5" width="14.42578125" style="273" customWidth="1"/>
    <col min="6" max="6" width="13.7109375" style="274" customWidth="1"/>
    <col min="7" max="7" width="15.140625" style="274" customWidth="1"/>
    <col min="8" max="8" width="19.42578125" style="275" customWidth="1"/>
    <col min="9" max="9" width="15.28515625" style="275" customWidth="1"/>
    <col min="10" max="10" width="19.85546875" style="275" customWidth="1"/>
    <col min="11" max="11" width="15.140625" style="275" customWidth="1"/>
    <col min="12" max="12" width="19.85546875" style="275" customWidth="1"/>
    <col min="13" max="13" width="17.5703125" style="275" customWidth="1"/>
    <col min="14" max="14" width="19.85546875" style="275" customWidth="1"/>
    <col min="15" max="15" width="15" style="275" customWidth="1"/>
    <col min="16" max="18" width="18.85546875" style="275" customWidth="1"/>
    <col min="19" max="19" width="13.5703125" style="275" customWidth="1"/>
    <col min="20" max="20" width="19.5703125" style="275" customWidth="1"/>
    <col min="21" max="16384" width="10.28515625" style="275"/>
  </cols>
  <sheetData>
    <row r="1" spans="1:25" ht="15.6" customHeight="1" x14ac:dyDescent="0.25">
      <c r="A1" s="402" t="s">
        <v>1159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  <c r="M1" s="402"/>
      <c r="N1" s="402"/>
      <c r="O1" s="402"/>
      <c r="P1" s="402"/>
      <c r="Q1" s="402"/>
      <c r="R1" s="402"/>
      <c r="S1" s="402"/>
      <c r="T1" s="402"/>
    </row>
    <row r="2" spans="1:25" ht="15.6" customHeight="1" x14ac:dyDescent="0.25">
      <c r="A2" s="402"/>
      <c r="B2" s="402"/>
      <c r="C2" s="402"/>
      <c r="D2" s="402"/>
      <c r="E2" s="402"/>
      <c r="F2" s="402"/>
      <c r="G2" s="402"/>
      <c r="H2" s="402"/>
      <c r="I2" s="402"/>
      <c r="J2" s="402"/>
      <c r="K2" s="402"/>
      <c r="L2" s="402"/>
      <c r="M2" s="402"/>
      <c r="N2" s="402"/>
      <c r="O2" s="402"/>
      <c r="P2" s="402"/>
      <c r="Q2" s="402"/>
      <c r="R2" s="402"/>
      <c r="S2" s="402"/>
      <c r="T2" s="402"/>
    </row>
    <row r="4" spans="1:25" ht="21.75" customHeight="1" x14ac:dyDescent="0.25">
      <c r="A4" s="404" t="s">
        <v>1169</v>
      </c>
      <c r="B4" s="404"/>
      <c r="C4" s="404"/>
      <c r="D4" s="404"/>
      <c r="E4" s="404"/>
      <c r="F4" s="404"/>
      <c r="G4" s="404"/>
      <c r="H4" s="404"/>
      <c r="I4" s="404"/>
      <c r="J4" s="404"/>
      <c r="K4" s="404"/>
      <c r="L4" s="404"/>
      <c r="M4" s="404"/>
      <c r="N4" s="404"/>
      <c r="O4" s="404"/>
      <c r="P4" s="404"/>
      <c r="Q4" s="404"/>
      <c r="R4" s="404"/>
      <c r="S4" s="404"/>
      <c r="T4" s="404"/>
    </row>
    <row r="5" spans="1:25" x14ac:dyDescent="0.25">
      <c r="A5" s="405" t="s">
        <v>1181</v>
      </c>
      <c r="B5" s="405"/>
      <c r="C5" s="405"/>
      <c r="D5" s="405"/>
      <c r="E5" s="405"/>
      <c r="F5" s="405"/>
      <c r="G5" s="405"/>
      <c r="H5" s="405"/>
      <c r="I5" s="405"/>
      <c r="J5" s="405"/>
      <c r="K5" s="405"/>
      <c r="L5" s="405"/>
      <c r="M5" s="405"/>
      <c r="N5" s="405"/>
      <c r="O5" s="405"/>
      <c r="P5" s="405"/>
      <c r="Q5" s="405"/>
      <c r="R5" s="405"/>
      <c r="S5" s="405"/>
      <c r="T5" s="405"/>
    </row>
    <row r="6" spans="1:25" ht="31.15" customHeight="1" x14ac:dyDescent="0.25">
      <c r="A6" s="404" t="s">
        <v>1170</v>
      </c>
      <c r="B6" s="404"/>
      <c r="C6" s="404"/>
      <c r="D6" s="404"/>
      <c r="E6" s="404"/>
      <c r="F6" s="404"/>
      <c r="G6" s="404"/>
      <c r="H6" s="404"/>
      <c r="I6" s="404"/>
      <c r="J6" s="404"/>
      <c r="K6" s="404"/>
      <c r="L6" s="404"/>
      <c r="M6" s="404"/>
      <c r="N6" s="404"/>
      <c r="O6" s="404"/>
      <c r="P6" s="404"/>
      <c r="Q6" s="404"/>
      <c r="R6" s="404"/>
      <c r="S6" s="404"/>
      <c r="T6" s="404"/>
    </row>
    <row r="7" spans="1:25" ht="30" customHeight="1" x14ac:dyDescent="0.25">
      <c r="A7" s="404" t="s">
        <v>1182</v>
      </c>
      <c r="B7" s="404"/>
      <c r="C7" s="404"/>
      <c r="D7" s="404"/>
      <c r="E7" s="404"/>
      <c r="F7" s="404"/>
      <c r="G7" s="404"/>
      <c r="H7" s="404"/>
      <c r="I7" s="404"/>
      <c r="J7" s="404"/>
      <c r="K7" s="404"/>
      <c r="L7" s="404"/>
      <c r="M7" s="404"/>
      <c r="N7" s="404"/>
      <c r="O7" s="404"/>
      <c r="P7" s="404"/>
      <c r="Q7" s="404"/>
      <c r="R7" s="404"/>
      <c r="S7" s="404"/>
      <c r="T7" s="404"/>
    </row>
    <row r="8" spans="1:25" ht="18.75" x14ac:dyDescent="0.25">
      <c r="B8" s="282"/>
    </row>
    <row r="9" spans="1:25" ht="24" customHeight="1" x14ac:dyDescent="0.25">
      <c r="A9" s="406" t="s">
        <v>1183</v>
      </c>
      <c r="B9" s="406"/>
      <c r="C9" s="406"/>
      <c r="D9" s="406"/>
      <c r="E9" s="406"/>
      <c r="F9" s="406"/>
      <c r="G9" s="406"/>
      <c r="H9" s="406"/>
      <c r="I9" s="406"/>
      <c r="J9" s="406"/>
      <c r="K9" s="406"/>
      <c r="L9" s="406"/>
      <c r="M9" s="406"/>
      <c r="N9" s="406"/>
      <c r="O9" s="406"/>
      <c r="P9" s="406"/>
      <c r="Q9" s="406"/>
      <c r="R9" s="406"/>
      <c r="S9" s="406"/>
      <c r="T9" s="406"/>
    </row>
    <row r="10" spans="1:25" ht="12.6" customHeight="1" x14ac:dyDescent="0.25">
      <c r="A10" s="407" t="s">
        <v>1180</v>
      </c>
      <c r="B10" s="407"/>
      <c r="C10" s="407"/>
      <c r="D10" s="407"/>
      <c r="E10" s="407"/>
      <c r="F10" s="407"/>
      <c r="G10" s="407"/>
      <c r="H10" s="407"/>
      <c r="I10" s="407"/>
      <c r="J10" s="407"/>
      <c r="K10" s="407"/>
      <c r="L10" s="407"/>
      <c r="M10" s="407"/>
      <c r="N10" s="407"/>
      <c r="O10" s="407"/>
      <c r="P10" s="407"/>
      <c r="Q10" s="407"/>
      <c r="R10" s="407"/>
      <c r="S10" s="407"/>
      <c r="T10" s="407"/>
    </row>
    <row r="11" spans="1:25" x14ac:dyDescent="0.25">
      <c r="A11" s="275"/>
      <c r="B11" s="275"/>
      <c r="C11" s="275"/>
      <c r="D11" s="275"/>
      <c r="E11" s="275"/>
      <c r="F11" s="275"/>
      <c r="G11" s="275"/>
    </row>
    <row r="12" spans="1:25" x14ac:dyDescent="0.25">
      <c r="A12" s="275"/>
      <c r="B12" s="275"/>
      <c r="C12" s="275"/>
      <c r="D12" s="275"/>
      <c r="E12" s="275"/>
      <c r="F12" s="275"/>
      <c r="G12" s="275"/>
    </row>
    <row r="13" spans="1:25" ht="18.75" customHeight="1" x14ac:dyDescent="0.25">
      <c r="A13" s="403" t="s">
        <v>1120</v>
      </c>
      <c r="B13" s="403"/>
      <c r="C13" s="403"/>
      <c r="D13" s="403"/>
      <c r="E13" s="403"/>
      <c r="F13" s="403"/>
      <c r="G13" s="403"/>
      <c r="H13" s="403"/>
      <c r="I13" s="403"/>
      <c r="J13" s="403"/>
      <c r="K13" s="403"/>
      <c r="L13" s="403"/>
      <c r="M13" s="403"/>
      <c r="N13" s="403"/>
      <c r="O13" s="403"/>
      <c r="P13" s="403"/>
      <c r="Q13" s="403"/>
      <c r="R13" s="403"/>
      <c r="S13" s="403"/>
      <c r="T13" s="403"/>
    </row>
    <row r="14" spans="1:25" ht="35.25" customHeight="1" x14ac:dyDescent="0.25">
      <c r="A14" s="401" t="s">
        <v>1123</v>
      </c>
      <c r="B14" s="399" t="s">
        <v>1</v>
      </c>
      <c r="C14" s="399" t="s">
        <v>1124</v>
      </c>
      <c r="D14" s="287" t="s">
        <v>1172</v>
      </c>
      <c r="E14" s="287" t="s">
        <v>1171</v>
      </c>
      <c r="F14" s="287" t="s">
        <v>1165</v>
      </c>
      <c r="G14" s="399" t="s">
        <v>1164</v>
      </c>
      <c r="H14" s="399"/>
      <c r="I14" s="400" t="s">
        <v>1163</v>
      </c>
      <c r="J14" s="400"/>
      <c r="K14" s="399" t="s">
        <v>1160</v>
      </c>
      <c r="L14" s="399"/>
      <c r="M14" s="399" t="s">
        <v>1161</v>
      </c>
      <c r="N14" s="399"/>
      <c r="O14" s="400" t="s">
        <v>1162</v>
      </c>
      <c r="P14" s="400"/>
      <c r="Q14" s="376" t="s">
        <v>1185</v>
      </c>
      <c r="R14" s="376" t="s">
        <v>1186</v>
      </c>
      <c r="S14" s="400" t="s">
        <v>519</v>
      </c>
      <c r="T14" s="400"/>
      <c r="U14" s="275" t="s">
        <v>1175</v>
      </c>
    </row>
    <row r="15" spans="1:25" ht="38.25" x14ac:dyDescent="0.25">
      <c r="A15" s="401"/>
      <c r="B15" s="399"/>
      <c r="C15" s="399"/>
      <c r="D15" s="287" t="s">
        <v>191</v>
      </c>
      <c r="E15" s="276" t="s">
        <v>191</v>
      </c>
      <c r="F15" s="276" t="s">
        <v>191</v>
      </c>
      <c r="G15" s="276" t="s">
        <v>1166</v>
      </c>
      <c r="H15" s="276" t="s">
        <v>191</v>
      </c>
      <c r="I15" s="276" t="s">
        <v>1166</v>
      </c>
      <c r="J15" s="276" t="s">
        <v>191</v>
      </c>
      <c r="K15" s="276" t="s">
        <v>1166</v>
      </c>
      <c r="L15" s="276" t="s">
        <v>191</v>
      </c>
      <c r="M15" s="276" t="s">
        <v>1184</v>
      </c>
      <c r="N15" s="276" t="s">
        <v>604</v>
      </c>
      <c r="O15" s="276" t="s">
        <v>1167</v>
      </c>
      <c r="P15" s="276" t="s">
        <v>604</v>
      </c>
      <c r="Q15" s="276" t="s">
        <v>1167</v>
      </c>
      <c r="R15" s="276" t="s">
        <v>1167</v>
      </c>
      <c r="S15" s="276" t="s">
        <v>1078</v>
      </c>
      <c r="T15" s="276" t="s">
        <v>604</v>
      </c>
      <c r="U15" s="272" t="s">
        <v>1176</v>
      </c>
      <c r="V15" s="272" t="s">
        <v>1190</v>
      </c>
      <c r="W15" s="272" t="s">
        <v>1191</v>
      </c>
      <c r="X15" s="272" t="s">
        <v>1192</v>
      </c>
      <c r="Y15" s="272" t="s">
        <v>1193</v>
      </c>
    </row>
    <row r="16" spans="1:25" s="296" customFormat="1" x14ac:dyDescent="0.25">
      <c r="A16" s="293">
        <v>1</v>
      </c>
      <c r="B16" s="294">
        <v>2</v>
      </c>
      <c r="C16" s="294">
        <v>3</v>
      </c>
      <c r="D16" s="295" t="s">
        <v>52</v>
      </c>
      <c r="E16" s="295" t="s">
        <v>55</v>
      </c>
      <c r="F16" s="295" t="s">
        <v>1079</v>
      </c>
      <c r="G16" s="295" t="s">
        <v>1080</v>
      </c>
      <c r="H16" s="295" t="s">
        <v>1081</v>
      </c>
      <c r="I16" s="295" t="s">
        <v>1082</v>
      </c>
      <c r="J16" s="295" t="s">
        <v>1083</v>
      </c>
      <c r="K16" s="295" t="s">
        <v>1084</v>
      </c>
      <c r="L16" s="295" t="s">
        <v>1085</v>
      </c>
      <c r="M16" s="295" t="s">
        <v>1086</v>
      </c>
      <c r="N16" s="295" t="s">
        <v>1087</v>
      </c>
      <c r="O16" s="295" t="s">
        <v>1173</v>
      </c>
      <c r="P16" s="295" t="s">
        <v>1174</v>
      </c>
      <c r="Q16" s="295" t="s">
        <v>1187</v>
      </c>
      <c r="R16" s="295" t="s">
        <v>1188</v>
      </c>
      <c r="S16" s="293" t="s">
        <v>1088</v>
      </c>
      <c r="T16" s="294">
        <v>6</v>
      </c>
    </row>
    <row r="17" spans="1:25" s="283" customFormat="1" ht="18.75" x14ac:dyDescent="0.25">
      <c r="A17" s="398" t="s">
        <v>1134</v>
      </c>
      <c r="B17" s="398"/>
      <c r="C17" s="398"/>
      <c r="D17" s="398"/>
      <c r="E17" s="398"/>
      <c r="F17" s="398"/>
      <c r="G17" s="398"/>
      <c r="H17" s="398"/>
      <c r="I17" s="398"/>
      <c r="J17" s="398"/>
      <c r="K17" s="398"/>
      <c r="L17" s="398"/>
      <c r="M17" s="398"/>
      <c r="N17" s="398"/>
      <c r="O17" s="398"/>
      <c r="P17" s="398"/>
      <c r="Q17" s="398"/>
      <c r="R17" s="398"/>
      <c r="S17" s="398"/>
      <c r="T17" s="398"/>
    </row>
    <row r="18" spans="1:25" s="283" customFormat="1" x14ac:dyDescent="0.25">
      <c r="A18" s="298" t="s">
        <v>16</v>
      </c>
      <c r="B18" s="299" t="s">
        <v>1133</v>
      </c>
      <c r="C18" s="300" t="s">
        <v>748</v>
      </c>
      <c r="D18" s="303">
        <f>D24+D26+D32</f>
        <v>1794.3500000000001</v>
      </c>
      <c r="E18" s="303">
        <f t="shared" ref="E18:R18" si="0">E24+E26+E32</f>
        <v>1856.9700000000003</v>
      </c>
      <c r="F18" s="303">
        <f t="shared" si="0"/>
        <v>2129.3136500000001</v>
      </c>
      <c r="G18" s="303">
        <f t="shared" si="0"/>
        <v>2086.2739999999999</v>
      </c>
      <c r="H18" s="303">
        <f t="shared" si="0"/>
        <v>2085.0875599999999</v>
      </c>
      <c r="I18" s="303">
        <f t="shared" si="0"/>
        <v>2254.6471799999999</v>
      </c>
      <c r="J18" s="303">
        <f t="shared" si="0"/>
        <v>2357.7690000000002</v>
      </c>
      <c r="K18" s="303">
        <f t="shared" si="0"/>
        <v>2422.3469999999998</v>
      </c>
      <c r="L18" s="303">
        <f t="shared" si="0"/>
        <v>2585.6019999999999</v>
      </c>
      <c r="M18" s="303">
        <f t="shared" si="0"/>
        <v>2699.3498</v>
      </c>
      <c r="N18" s="363"/>
      <c r="O18" s="303">
        <f t="shared" si="0"/>
        <v>2940.7712320000001</v>
      </c>
      <c r="P18" s="363"/>
      <c r="Q18" s="303">
        <f t="shared" si="0"/>
        <v>2996.3786525119999</v>
      </c>
      <c r="R18" s="303">
        <f t="shared" si="0"/>
        <v>3118.9341772649918</v>
      </c>
      <c r="S18" s="303">
        <f>S24+S26+S32</f>
        <v>12403.389212</v>
      </c>
      <c r="T18" s="363"/>
    </row>
    <row r="19" spans="1:25" s="283" customFormat="1" x14ac:dyDescent="0.25">
      <c r="A19" s="289" t="s">
        <v>17</v>
      </c>
      <c r="B19" s="266" t="s">
        <v>1007</v>
      </c>
      <c r="C19" s="288" t="s">
        <v>748</v>
      </c>
      <c r="D19" s="288"/>
      <c r="E19" s="305" t="s">
        <v>286</v>
      </c>
      <c r="F19" s="305" t="s">
        <v>286</v>
      </c>
      <c r="G19" s="306" t="s">
        <v>286</v>
      </c>
      <c r="H19" s="306" t="s">
        <v>286</v>
      </c>
      <c r="I19" s="306" t="s">
        <v>286</v>
      </c>
      <c r="J19" s="306" t="s">
        <v>286</v>
      </c>
      <c r="K19" s="306" t="s">
        <v>286</v>
      </c>
      <c r="L19" s="306" t="s">
        <v>286</v>
      </c>
      <c r="M19" s="330"/>
      <c r="N19" s="330"/>
      <c r="O19" s="330" t="s">
        <v>286</v>
      </c>
      <c r="P19" s="326"/>
      <c r="Q19" s="326"/>
      <c r="R19" s="326"/>
      <c r="S19" s="326"/>
      <c r="T19" s="326"/>
    </row>
    <row r="20" spans="1:25" s="283" customFormat="1" ht="31.5" x14ac:dyDescent="0.25">
      <c r="A20" s="289" t="s">
        <v>199</v>
      </c>
      <c r="B20" s="267" t="s">
        <v>897</v>
      </c>
      <c r="C20" s="288" t="s">
        <v>748</v>
      </c>
      <c r="D20" s="288"/>
      <c r="E20" s="305" t="s">
        <v>286</v>
      </c>
      <c r="F20" s="305" t="s">
        <v>286</v>
      </c>
      <c r="G20" s="306" t="s">
        <v>286</v>
      </c>
      <c r="H20" s="306" t="s">
        <v>286</v>
      </c>
      <c r="I20" s="306" t="s">
        <v>286</v>
      </c>
      <c r="J20" s="306" t="s">
        <v>286</v>
      </c>
      <c r="K20" s="306" t="s">
        <v>286</v>
      </c>
      <c r="L20" s="306" t="s">
        <v>286</v>
      </c>
      <c r="M20" s="306" t="s">
        <v>286</v>
      </c>
      <c r="N20" s="306" t="s">
        <v>286</v>
      </c>
      <c r="O20" s="306" t="s">
        <v>286</v>
      </c>
      <c r="P20" s="306" t="s">
        <v>286</v>
      </c>
      <c r="Q20" s="306"/>
      <c r="R20" s="306"/>
      <c r="S20" s="306" t="s">
        <v>286</v>
      </c>
      <c r="T20" s="306" t="s">
        <v>286</v>
      </c>
    </row>
    <row r="21" spans="1:25" s="283" customFormat="1" ht="31.5" x14ac:dyDescent="0.25">
      <c r="A21" s="289" t="s">
        <v>201</v>
      </c>
      <c r="B21" s="267" t="s">
        <v>898</v>
      </c>
      <c r="C21" s="288" t="s">
        <v>748</v>
      </c>
      <c r="D21" s="288"/>
      <c r="E21" s="305" t="s">
        <v>286</v>
      </c>
      <c r="F21" s="305" t="s">
        <v>286</v>
      </c>
      <c r="G21" s="306" t="s">
        <v>286</v>
      </c>
      <c r="H21" s="306" t="s">
        <v>286</v>
      </c>
      <c r="I21" s="306" t="s">
        <v>286</v>
      </c>
      <c r="J21" s="306" t="s">
        <v>286</v>
      </c>
      <c r="K21" s="306" t="s">
        <v>286</v>
      </c>
      <c r="L21" s="306" t="s">
        <v>286</v>
      </c>
      <c r="M21" s="306" t="s">
        <v>286</v>
      </c>
      <c r="N21" s="306" t="s">
        <v>286</v>
      </c>
      <c r="O21" s="306" t="s">
        <v>286</v>
      </c>
      <c r="P21" s="306" t="s">
        <v>286</v>
      </c>
      <c r="Q21" s="306"/>
      <c r="R21" s="306"/>
      <c r="S21" s="306" t="s">
        <v>286</v>
      </c>
      <c r="T21" s="306" t="s">
        <v>286</v>
      </c>
    </row>
    <row r="22" spans="1:25" s="283" customFormat="1" ht="31.5" x14ac:dyDescent="0.25">
      <c r="A22" s="289" t="s">
        <v>203</v>
      </c>
      <c r="B22" s="267" t="s">
        <v>883</v>
      </c>
      <c r="C22" s="288" t="s">
        <v>748</v>
      </c>
      <c r="D22" s="288"/>
      <c r="E22" s="305" t="s">
        <v>286</v>
      </c>
      <c r="F22" s="305" t="s">
        <v>286</v>
      </c>
      <c r="G22" s="306" t="s">
        <v>286</v>
      </c>
      <c r="H22" s="306" t="s">
        <v>286</v>
      </c>
      <c r="I22" s="306" t="s">
        <v>286</v>
      </c>
      <c r="J22" s="306" t="s">
        <v>286</v>
      </c>
      <c r="K22" s="306" t="s">
        <v>286</v>
      </c>
      <c r="L22" s="306" t="s">
        <v>286</v>
      </c>
      <c r="M22" s="306" t="s">
        <v>286</v>
      </c>
      <c r="N22" s="306" t="s">
        <v>286</v>
      </c>
      <c r="O22" s="306" t="s">
        <v>286</v>
      </c>
      <c r="P22" s="306" t="s">
        <v>286</v>
      </c>
      <c r="Q22" s="306"/>
      <c r="R22" s="306"/>
      <c r="S22" s="306" t="s">
        <v>286</v>
      </c>
      <c r="T22" s="306" t="s">
        <v>286</v>
      </c>
    </row>
    <row r="23" spans="1:25" s="283" customFormat="1" x14ac:dyDescent="0.25">
      <c r="A23" s="289" t="s">
        <v>18</v>
      </c>
      <c r="B23" s="266" t="s">
        <v>1044</v>
      </c>
      <c r="C23" s="288" t="s">
        <v>748</v>
      </c>
      <c r="D23" s="288"/>
      <c r="E23" s="305" t="s">
        <v>286</v>
      </c>
      <c r="F23" s="305" t="s">
        <v>286</v>
      </c>
      <c r="G23" s="306" t="s">
        <v>286</v>
      </c>
      <c r="H23" s="306" t="s">
        <v>286</v>
      </c>
      <c r="I23" s="306" t="s">
        <v>286</v>
      </c>
      <c r="J23" s="306" t="s">
        <v>286</v>
      </c>
      <c r="K23" s="306" t="s">
        <v>286</v>
      </c>
      <c r="L23" s="306" t="s">
        <v>286</v>
      </c>
      <c r="M23" s="306" t="s">
        <v>286</v>
      </c>
      <c r="N23" s="306" t="s">
        <v>286</v>
      </c>
      <c r="O23" s="306" t="s">
        <v>286</v>
      </c>
      <c r="P23" s="306" t="s">
        <v>286</v>
      </c>
      <c r="Q23" s="306"/>
      <c r="R23" s="306"/>
      <c r="S23" s="306" t="s">
        <v>286</v>
      </c>
      <c r="T23" s="306" t="s">
        <v>286</v>
      </c>
    </row>
    <row r="24" spans="1:25" s="283" customFormat="1" x14ac:dyDescent="0.25">
      <c r="A24" s="289" t="s">
        <v>21</v>
      </c>
      <c r="B24" s="266" t="s">
        <v>937</v>
      </c>
      <c r="C24" s="288" t="s">
        <v>748</v>
      </c>
      <c r="D24" s="288">
        <v>1632.43</v>
      </c>
      <c r="E24" s="305">
        <v>1676.39</v>
      </c>
      <c r="F24" s="305">
        <v>1771.61365</v>
      </c>
      <c r="G24" s="306">
        <v>1803.7339999999999</v>
      </c>
      <c r="H24" s="306">
        <v>1799.52738</v>
      </c>
      <c r="I24" s="306">
        <v>1969.2556</v>
      </c>
      <c r="J24" s="309">
        <v>1968.0550000000001</v>
      </c>
      <c r="K24" s="307">
        <v>2068.9879999999998</v>
      </c>
      <c r="L24" s="307">
        <v>2104.9369999999999</v>
      </c>
      <c r="M24" s="326">
        <v>2306.739</v>
      </c>
      <c r="N24" s="326"/>
      <c r="O24" s="326">
        <v>2515.2640000000001</v>
      </c>
      <c r="P24" s="326"/>
      <c r="Q24" s="326">
        <f>O24*1.041</f>
        <v>2618.3898239999999</v>
      </c>
      <c r="R24" s="326">
        <f>Q24*1.041</f>
        <v>2725.7438067839998</v>
      </c>
      <c r="S24" s="326">
        <f>G24+I24+K24+O24+M24</f>
        <v>10663.980600000001</v>
      </c>
      <c r="T24" s="326"/>
      <c r="U24" s="283">
        <f>K24/K18%</f>
        <v>85.412535858817918</v>
      </c>
      <c r="V24" s="283">
        <f>M24/M18%</f>
        <v>85.455356693674901</v>
      </c>
      <c r="W24" s="283">
        <f>O24/O18%</f>
        <v>85.530760523979438</v>
      </c>
      <c r="X24" s="283">
        <f>Q24/Q18%</f>
        <v>87.385144791526429</v>
      </c>
      <c r="Y24" s="283">
        <f>R24/R18%</f>
        <v>87.393438010103097</v>
      </c>
    </row>
    <row r="25" spans="1:25" s="283" customFormat="1" x14ac:dyDescent="0.25">
      <c r="A25" s="289" t="s">
        <v>37</v>
      </c>
      <c r="B25" s="266" t="s">
        <v>1045</v>
      </c>
      <c r="C25" s="288" t="s">
        <v>748</v>
      </c>
      <c r="D25" s="288"/>
      <c r="E25" s="305" t="s">
        <v>286</v>
      </c>
      <c r="F25" s="305" t="s">
        <v>286</v>
      </c>
      <c r="G25" s="306" t="s">
        <v>286</v>
      </c>
      <c r="H25" s="306" t="s">
        <v>286</v>
      </c>
      <c r="I25" s="306" t="s">
        <v>286</v>
      </c>
      <c r="J25" s="306" t="s">
        <v>286</v>
      </c>
      <c r="K25" s="306" t="s">
        <v>286</v>
      </c>
      <c r="L25" s="306" t="s">
        <v>286</v>
      </c>
      <c r="M25" s="306" t="s">
        <v>286</v>
      </c>
      <c r="N25" s="306" t="s">
        <v>286</v>
      </c>
      <c r="O25" s="306" t="s">
        <v>286</v>
      </c>
      <c r="P25" s="306" t="s">
        <v>286</v>
      </c>
      <c r="Q25" s="306"/>
      <c r="R25" s="306"/>
      <c r="S25" s="306" t="s">
        <v>286</v>
      </c>
      <c r="T25" s="306" t="s">
        <v>286</v>
      </c>
    </row>
    <row r="26" spans="1:25" s="283" customFormat="1" x14ac:dyDescent="0.25">
      <c r="A26" s="289" t="s">
        <v>72</v>
      </c>
      <c r="B26" s="266" t="s">
        <v>938</v>
      </c>
      <c r="C26" s="288" t="s">
        <v>748</v>
      </c>
      <c r="D26" s="288">
        <v>24.26</v>
      </c>
      <c r="E26" s="305">
        <v>20.7</v>
      </c>
      <c r="F26" s="305">
        <v>62.53</v>
      </c>
      <c r="G26" s="306">
        <v>44.42</v>
      </c>
      <c r="H26" s="306">
        <v>49.634860000000003</v>
      </c>
      <c r="I26" s="306">
        <v>31.89668</v>
      </c>
      <c r="J26" s="309">
        <v>144.39500000000001</v>
      </c>
      <c r="K26" s="307">
        <v>82.08</v>
      </c>
      <c r="L26" s="307">
        <v>186.12100000000001</v>
      </c>
      <c r="M26" s="326">
        <v>95.2</v>
      </c>
      <c r="N26" s="326"/>
      <c r="O26" s="326">
        <v>116.2</v>
      </c>
      <c r="P26" s="326"/>
      <c r="Q26" s="326">
        <v>56</v>
      </c>
      <c r="R26" s="326">
        <v>58</v>
      </c>
      <c r="S26" s="326">
        <f>G26+I26+K26+O26+M26</f>
        <v>369.79667999999998</v>
      </c>
      <c r="T26" s="326"/>
      <c r="U26" s="283">
        <f>K26/K18%</f>
        <v>3.3884493014419488</v>
      </c>
      <c r="V26" s="283">
        <f>M26/M18%</f>
        <v>3.5267752256487843</v>
      </c>
      <c r="W26" s="283">
        <f>O26/O18%</f>
        <v>3.9513444206597841</v>
      </c>
      <c r="X26" s="283">
        <f>Q26/Q18%</f>
        <v>1.8689226728088142</v>
      </c>
      <c r="Y26" s="283">
        <f>R26/R18%</f>
        <v>1.859609619939478</v>
      </c>
    </row>
    <row r="27" spans="1:25" s="283" customFormat="1" x14ac:dyDescent="0.25">
      <c r="A27" s="289" t="s">
        <v>82</v>
      </c>
      <c r="B27" s="266" t="s">
        <v>939</v>
      </c>
      <c r="C27" s="288" t="s">
        <v>748</v>
      </c>
      <c r="D27" s="288"/>
      <c r="E27" s="305" t="s">
        <v>286</v>
      </c>
      <c r="F27" s="305" t="s">
        <v>286</v>
      </c>
      <c r="G27" s="306" t="s">
        <v>286</v>
      </c>
      <c r="H27" s="306" t="s">
        <v>286</v>
      </c>
      <c r="I27" s="306" t="s">
        <v>286</v>
      </c>
      <c r="J27" s="306" t="s">
        <v>286</v>
      </c>
      <c r="K27" s="306" t="s">
        <v>286</v>
      </c>
      <c r="L27" s="306" t="s">
        <v>286</v>
      </c>
      <c r="M27" s="306" t="s">
        <v>286</v>
      </c>
      <c r="N27" s="306" t="s">
        <v>286</v>
      </c>
      <c r="O27" s="306" t="s">
        <v>286</v>
      </c>
      <c r="P27" s="306" t="s">
        <v>286</v>
      </c>
      <c r="Q27" s="306"/>
      <c r="R27" s="306"/>
      <c r="S27" s="306" t="s">
        <v>286</v>
      </c>
      <c r="T27" s="306" t="s">
        <v>286</v>
      </c>
    </row>
    <row r="28" spans="1:25" s="283" customFormat="1" x14ac:dyDescent="0.25">
      <c r="A28" s="289" t="s">
        <v>741</v>
      </c>
      <c r="B28" s="266" t="s">
        <v>1052</v>
      </c>
      <c r="C28" s="288" t="s">
        <v>748</v>
      </c>
      <c r="D28" s="288"/>
      <c r="E28" s="305" t="s">
        <v>286</v>
      </c>
      <c r="F28" s="305" t="s">
        <v>286</v>
      </c>
      <c r="G28" s="306" t="s">
        <v>286</v>
      </c>
      <c r="H28" s="306" t="s">
        <v>286</v>
      </c>
      <c r="I28" s="306" t="s">
        <v>286</v>
      </c>
      <c r="J28" s="306" t="s">
        <v>286</v>
      </c>
      <c r="K28" s="306" t="s">
        <v>286</v>
      </c>
      <c r="L28" s="306" t="s">
        <v>286</v>
      </c>
      <c r="M28" s="306" t="s">
        <v>286</v>
      </c>
      <c r="N28" s="306" t="s">
        <v>286</v>
      </c>
      <c r="O28" s="306" t="s">
        <v>286</v>
      </c>
      <c r="P28" s="306" t="s">
        <v>286</v>
      </c>
      <c r="Q28" s="306"/>
      <c r="R28" s="306"/>
      <c r="S28" s="306" t="s">
        <v>286</v>
      </c>
      <c r="T28" s="306" t="s">
        <v>286</v>
      </c>
    </row>
    <row r="29" spans="1:25" s="283" customFormat="1" ht="31.5" x14ac:dyDescent="0.25">
      <c r="A29" s="289" t="s">
        <v>742</v>
      </c>
      <c r="B29" s="267" t="s">
        <v>817</v>
      </c>
      <c r="C29" s="288" t="s">
        <v>748</v>
      </c>
      <c r="D29" s="288"/>
      <c r="E29" s="305" t="s">
        <v>286</v>
      </c>
      <c r="F29" s="305" t="s">
        <v>286</v>
      </c>
      <c r="G29" s="306" t="s">
        <v>286</v>
      </c>
      <c r="H29" s="306" t="s">
        <v>286</v>
      </c>
      <c r="I29" s="306" t="s">
        <v>286</v>
      </c>
      <c r="J29" s="306" t="s">
        <v>286</v>
      </c>
      <c r="K29" s="306" t="s">
        <v>286</v>
      </c>
      <c r="L29" s="306" t="s">
        <v>286</v>
      </c>
      <c r="M29" s="306" t="s">
        <v>286</v>
      </c>
      <c r="N29" s="306" t="s">
        <v>286</v>
      </c>
      <c r="O29" s="306" t="s">
        <v>286</v>
      </c>
      <c r="P29" s="306" t="s">
        <v>286</v>
      </c>
      <c r="Q29" s="306"/>
      <c r="R29" s="306"/>
      <c r="S29" s="306" t="s">
        <v>286</v>
      </c>
      <c r="T29" s="306" t="s">
        <v>286</v>
      </c>
    </row>
    <row r="30" spans="1:25" s="283" customFormat="1" x14ac:dyDescent="0.25">
      <c r="A30" s="289" t="s">
        <v>974</v>
      </c>
      <c r="B30" s="268" t="s">
        <v>643</v>
      </c>
      <c r="C30" s="288" t="s">
        <v>748</v>
      </c>
      <c r="D30" s="288"/>
      <c r="E30" s="305" t="s">
        <v>286</v>
      </c>
      <c r="F30" s="305" t="s">
        <v>286</v>
      </c>
      <c r="G30" s="306" t="s">
        <v>286</v>
      </c>
      <c r="H30" s="306" t="s">
        <v>286</v>
      </c>
      <c r="I30" s="306" t="s">
        <v>286</v>
      </c>
      <c r="J30" s="306" t="s">
        <v>286</v>
      </c>
      <c r="K30" s="306" t="s">
        <v>286</v>
      </c>
      <c r="L30" s="306" t="s">
        <v>286</v>
      </c>
      <c r="M30" s="306" t="s">
        <v>286</v>
      </c>
      <c r="N30" s="306" t="s">
        <v>286</v>
      </c>
      <c r="O30" s="306" t="s">
        <v>286</v>
      </c>
      <c r="P30" s="306" t="s">
        <v>286</v>
      </c>
      <c r="Q30" s="306"/>
      <c r="R30" s="306"/>
      <c r="S30" s="306" t="s">
        <v>286</v>
      </c>
      <c r="T30" s="306" t="s">
        <v>286</v>
      </c>
    </row>
    <row r="31" spans="1:25" s="283" customFormat="1" x14ac:dyDescent="0.25">
      <c r="A31" s="289" t="s">
        <v>975</v>
      </c>
      <c r="B31" s="268" t="s">
        <v>631</v>
      </c>
      <c r="C31" s="288" t="s">
        <v>748</v>
      </c>
      <c r="D31" s="288"/>
      <c r="E31" s="305" t="s">
        <v>286</v>
      </c>
      <c r="F31" s="305" t="s">
        <v>286</v>
      </c>
      <c r="G31" s="306" t="s">
        <v>286</v>
      </c>
      <c r="H31" s="306" t="s">
        <v>286</v>
      </c>
      <c r="I31" s="306" t="s">
        <v>286</v>
      </c>
      <c r="J31" s="306" t="s">
        <v>286</v>
      </c>
      <c r="K31" s="306" t="s">
        <v>286</v>
      </c>
      <c r="L31" s="306" t="s">
        <v>286</v>
      </c>
      <c r="M31" s="306" t="s">
        <v>286</v>
      </c>
      <c r="N31" s="306" t="s">
        <v>286</v>
      </c>
      <c r="O31" s="306" t="s">
        <v>286</v>
      </c>
      <c r="P31" s="306" t="s">
        <v>286</v>
      </c>
      <c r="Q31" s="306"/>
      <c r="R31" s="306"/>
      <c r="S31" s="306" t="s">
        <v>286</v>
      </c>
      <c r="T31" s="306" t="s">
        <v>286</v>
      </c>
    </row>
    <row r="32" spans="1:25" s="283" customFormat="1" x14ac:dyDescent="0.25">
      <c r="A32" s="289" t="s">
        <v>743</v>
      </c>
      <c r="B32" s="266" t="s">
        <v>940</v>
      </c>
      <c r="C32" s="288" t="s">
        <v>748</v>
      </c>
      <c r="D32" s="288">
        <v>137.66</v>
      </c>
      <c r="E32" s="305">
        <v>159.88</v>
      </c>
      <c r="F32" s="305">
        <v>295.17</v>
      </c>
      <c r="G32" s="306">
        <v>238.12</v>
      </c>
      <c r="H32" s="306">
        <v>235.92532</v>
      </c>
      <c r="I32" s="306">
        <v>253.4949</v>
      </c>
      <c r="J32" s="309">
        <v>245.31899999999999</v>
      </c>
      <c r="K32" s="307">
        <v>271.279</v>
      </c>
      <c r="L32" s="307">
        <v>294.54399999999998</v>
      </c>
      <c r="M32" s="326">
        <v>297.41079999999999</v>
      </c>
      <c r="N32" s="326"/>
      <c r="O32" s="326">
        <f>M32*1.04</f>
        <v>309.307232</v>
      </c>
      <c r="P32" s="326"/>
      <c r="Q32" s="326">
        <f>O32*1.041</f>
        <v>321.988828512</v>
      </c>
      <c r="R32" s="326">
        <f>Q32*1.041</f>
        <v>335.19037048099199</v>
      </c>
      <c r="S32" s="326">
        <f>G32+I32+K32+O32+M32</f>
        <v>1369.6119320000003</v>
      </c>
      <c r="T32" s="326"/>
      <c r="U32" s="283">
        <f>K32/K18%</f>
        <v>11.199014839740137</v>
      </c>
      <c r="V32" s="283">
        <f>M32/M18%</f>
        <v>11.017868080676317</v>
      </c>
      <c r="W32" s="283">
        <f>O32/O18%</f>
        <v>10.51789505536077</v>
      </c>
      <c r="X32" s="283">
        <f>Q32/Q18%</f>
        <v>10.74593253566475</v>
      </c>
      <c r="Y32" s="283">
        <f>R32/R18%</f>
        <v>10.74695236995742</v>
      </c>
    </row>
    <row r="33" spans="1:20" s="283" customFormat="1" ht="31.5" x14ac:dyDescent="0.25">
      <c r="A33" s="298" t="s">
        <v>19</v>
      </c>
      <c r="B33" s="299" t="s">
        <v>1008</v>
      </c>
      <c r="C33" s="300" t="s">
        <v>748</v>
      </c>
      <c r="D33" s="308">
        <f t="shared" ref="D33:I33" si="1">D39+D41+D47</f>
        <v>1660.59</v>
      </c>
      <c r="E33" s="308">
        <f t="shared" si="1"/>
        <v>1659.05</v>
      </c>
      <c r="F33" s="308">
        <f>F39+F41+F47</f>
        <v>1972.0800000000002</v>
      </c>
      <c r="G33" s="308">
        <f t="shared" si="1"/>
        <v>1981.3232100000002</v>
      </c>
      <c r="H33" s="308">
        <f t="shared" si="1"/>
        <v>1955.7678800000001</v>
      </c>
      <c r="I33" s="308">
        <f t="shared" si="1"/>
        <v>2129.13841</v>
      </c>
      <c r="J33" s="308">
        <f>J39+J41+J47</f>
        <v>2077.895</v>
      </c>
      <c r="K33" s="308">
        <f>K39+K41+K47</f>
        <v>2239.1280000000002</v>
      </c>
      <c r="L33" s="308">
        <f>L39+L41+L47</f>
        <v>2355.482</v>
      </c>
      <c r="M33" s="308">
        <f>M39+M41+M47</f>
        <v>2528.2679600000001</v>
      </c>
      <c r="N33" s="362"/>
      <c r="O33" s="308">
        <f>O39+O41+O47</f>
        <v>2655.3693846499996</v>
      </c>
      <c r="P33" s="362"/>
      <c r="Q33" s="308">
        <f t="shared" ref="Q33:R33" si="2">Q39+Q41+Q47</f>
        <v>2764.2395294206494</v>
      </c>
      <c r="R33" s="308">
        <f t="shared" si="2"/>
        <v>2877.5733501268965</v>
      </c>
      <c r="S33" s="308">
        <f t="shared" ref="S33:T33" si="3">S39+S41+S47</f>
        <v>11533.226964649999</v>
      </c>
      <c r="T33" s="308">
        <f t="shared" si="3"/>
        <v>0</v>
      </c>
    </row>
    <row r="34" spans="1:20" s="283" customFormat="1" x14ac:dyDescent="0.25">
      <c r="A34" s="289" t="s">
        <v>23</v>
      </c>
      <c r="B34" s="266" t="s">
        <v>1007</v>
      </c>
      <c r="C34" s="288" t="s">
        <v>748</v>
      </c>
      <c r="D34" s="288"/>
      <c r="E34" s="305" t="s">
        <v>286</v>
      </c>
      <c r="F34" s="305" t="s">
        <v>286</v>
      </c>
      <c r="G34" s="307" t="s">
        <v>286</v>
      </c>
      <c r="H34" s="307" t="s">
        <v>286</v>
      </c>
      <c r="I34" s="307" t="s">
        <v>286</v>
      </c>
      <c r="J34" s="307" t="s">
        <v>286</v>
      </c>
      <c r="K34" s="307" t="s">
        <v>286</v>
      </c>
      <c r="L34" s="307" t="s">
        <v>286</v>
      </c>
      <c r="M34" s="307" t="s">
        <v>286</v>
      </c>
      <c r="N34" s="307" t="s">
        <v>286</v>
      </c>
      <c r="O34" s="307" t="s">
        <v>286</v>
      </c>
      <c r="P34" s="307" t="s">
        <v>286</v>
      </c>
      <c r="Q34" s="307"/>
      <c r="R34" s="307"/>
      <c r="S34" s="307" t="s">
        <v>286</v>
      </c>
      <c r="T34" s="307" t="s">
        <v>286</v>
      </c>
    </row>
    <row r="35" spans="1:20" s="283" customFormat="1" ht="31.5" x14ac:dyDescent="0.25">
      <c r="A35" s="289" t="s">
        <v>837</v>
      </c>
      <c r="B35" s="136" t="s">
        <v>897</v>
      </c>
      <c r="C35" s="288" t="s">
        <v>748</v>
      </c>
      <c r="D35" s="288"/>
      <c r="E35" s="305" t="s">
        <v>286</v>
      </c>
      <c r="F35" s="305" t="s">
        <v>286</v>
      </c>
      <c r="G35" s="307" t="s">
        <v>286</v>
      </c>
      <c r="H35" s="307" t="s">
        <v>286</v>
      </c>
      <c r="I35" s="307" t="s">
        <v>286</v>
      </c>
      <c r="J35" s="307" t="s">
        <v>286</v>
      </c>
      <c r="K35" s="307" t="s">
        <v>286</v>
      </c>
      <c r="L35" s="307" t="s">
        <v>286</v>
      </c>
      <c r="M35" s="307" t="s">
        <v>286</v>
      </c>
      <c r="N35" s="307" t="s">
        <v>286</v>
      </c>
      <c r="O35" s="307" t="s">
        <v>286</v>
      </c>
      <c r="P35" s="307" t="s">
        <v>286</v>
      </c>
      <c r="Q35" s="307"/>
      <c r="R35" s="307"/>
      <c r="S35" s="307" t="s">
        <v>286</v>
      </c>
      <c r="T35" s="307" t="s">
        <v>286</v>
      </c>
    </row>
    <row r="36" spans="1:20" s="283" customFormat="1" ht="31.5" x14ac:dyDescent="0.25">
      <c r="A36" s="289" t="s">
        <v>838</v>
      </c>
      <c r="B36" s="136" t="s">
        <v>898</v>
      </c>
      <c r="C36" s="288" t="s">
        <v>748</v>
      </c>
      <c r="D36" s="288"/>
      <c r="E36" s="305" t="s">
        <v>286</v>
      </c>
      <c r="F36" s="305" t="s">
        <v>286</v>
      </c>
      <c r="G36" s="307" t="s">
        <v>286</v>
      </c>
      <c r="H36" s="307" t="s">
        <v>286</v>
      </c>
      <c r="I36" s="307" t="s">
        <v>286</v>
      </c>
      <c r="J36" s="307" t="s">
        <v>286</v>
      </c>
      <c r="K36" s="307" t="s">
        <v>286</v>
      </c>
      <c r="L36" s="307" t="s">
        <v>286</v>
      </c>
      <c r="M36" s="307" t="s">
        <v>286</v>
      </c>
      <c r="N36" s="307" t="s">
        <v>286</v>
      </c>
      <c r="O36" s="307" t="s">
        <v>286</v>
      </c>
      <c r="P36" s="307" t="s">
        <v>286</v>
      </c>
      <c r="Q36" s="307"/>
      <c r="R36" s="307"/>
      <c r="S36" s="307" t="s">
        <v>286</v>
      </c>
      <c r="T36" s="307" t="s">
        <v>286</v>
      </c>
    </row>
    <row r="37" spans="1:20" s="283" customFormat="1" ht="31.5" x14ac:dyDescent="0.25">
      <c r="A37" s="289" t="s">
        <v>843</v>
      </c>
      <c r="B37" s="136" t="s">
        <v>883</v>
      </c>
      <c r="C37" s="288" t="s">
        <v>748</v>
      </c>
      <c r="D37" s="288"/>
      <c r="E37" s="305" t="s">
        <v>286</v>
      </c>
      <c r="F37" s="305" t="s">
        <v>286</v>
      </c>
      <c r="G37" s="307" t="s">
        <v>286</v>
      </c>
      <c r="H37" s="307" t="s">
        <v>286</v>
      </c>
      <c r="I37" s="307" t="s">
        <v>286</v>
      </c>
      <c r="J37" s="307" t="s">
        <v>286</v>
      </c>
      <c r="K37" s="307" t="s">
        <v>286</v>
      </c>
      <c r="L37" s="307" t="s">
        <v>286</v>
      </c>
      <c r="M37" s="307" t="s">
        <v>286</v>
      </c>
      <c r="N37" s="307" t="s">
        <v>286</v>
      </c>
      <c r="O37" s="307" t="s">
        <v>286</v>
      </c>
      <c r="P37" s="307" t="s">
        <v>286</v>
      </c>
      <c r="Q37" s="307"/>
      <c r="R37" s="307"/>
      <c r="S37" s="307" t="s">
        <v>286</v>
      </c>
      <c r="T37" s="307" t="s">
        <v>286</v>
      </c>
    </row>
    <row r="38" spans="1:20" s="283" customFormat="1" x14ac:dyDescent="0.25">
      <c r="A38" s="289" t="s">
        <v>24</v>
      </c>
      <c r="B38" s="266" t="s">
        <v>1044</v>
      </c>
      <c r="C38" s="288" t="s">
        <v>748</v>
      </c>
      <c r="D38" s="288"/>
      <c r="E38" s="305" t="s">
        <v>286</v>
      </c>
      <c r="F38" s="305" t="s">
        <v>286</v>
      </c>
      <c r="G38" s="307" t="s">
        <v>286</v>
      </c>
      <c r="H38" s="307" t="s">
        <v>286</v>
      </c>
      <c r="I38" s="307" t="s">
        <v>286</v>
      </c>
      <c r="J38" s="307" t="s">
        <v>286</v>
      </c>
      <c r="K38" s="307" t="s">
        <v>286</v>
      </c>
      <c r="L38" s="307" t="s">
        <v>286</v>
      </c>
      <c r="M38" s="307" t="s">
        <v>286</v>
      </c>
      <c r="N38" s="307" t="s">
        <v>286</v>
      </c>
      <c r="O38" s="307" t="s">
        <v>286</v>
      </c>
      <c r="P38" s="307" t="s">
        <v>286</v>
      </c>
      <c r="Q38" s="307"/>
      <c r="R38" s="307"/>
      <c r="S38" s="307" t="s">
        <v>286</v>
      </c>
      <c r="T38" s="307" t="s">
        <v>286</v>
      </c>
    </row>
    <row r="39" spans="1:20" s="283" customFormat="1" x14ac:dyDescent="0.25">
      <c r="A39" s="289" t="s">
        <v>30</v>
      </c>
      <c r="B39" s="266" t="s">
        <v>937</v>
      </c>
      <c r="C39" s="288" t="s">
        <v>748</v>
      </c>
      <c r="D39" s="288">
        <v>1583.81</v>
      </c>
      <c r="E39" s="305">
        <v>1576.39</v>
      </c>
      <c r="F39" s="305">
        <v>1743.45</v>
      </c>
      <c r="G39" s="307">
        <v>1767.17</v>
      </c>
      <c r="H39" s="307">
        <v>1767.5530000000001</v>
      </c>
      <c r="I39" s="307">
        <v>1925.92893</v>
      </c>
      <c r="J39" s="307">
        <v>1877.075</v>
      </c>
      <c r="K39" s="307">
        <v>2000.579</v>
      </c>
      <c r="L39" s="307">
        <v>1992.462</v>
      </c>
      <c r="M39" s="326">
        <f>2220.66741</f>
        <v>2220.66741</v>
      </c>
      <c r="N39" s="332"/>
      <c r="O39" s="391">
        <f>2328.39+20</f>
        <v>2348.39</v>
      </c>
      <c r="P39" s="332"/>
      <c r="Q39" s="326">
        <f>O39*1.041</f>
        <v>2444.6739899999998</v>
      </c>
      <c r="R39" s="326">
        <f>Q39*1.041</f>
        <v>2544.9056235899998</v>
      </c>
      <c r="S39" s="326">
        <f>G39+I39+K39+O39+M39</f>
        <v>10262.735339999999</v>
      </c>
      <c r="T39" s="332"/>
    </row>
    <row r="40" spans="1:20" s="283" customFormat="1" x14ac:dyDescent="0.25">
      <c r="A40" s="289" t="s">
        <v>38</v>
      </c>
      <c r="B40" s="266" t="s">
        <v>1045</v>
      </c>
      <c r="C40" s="288" t="s">
        <v>748</v>
      </c>
      <c r="D40" s="288"/>
      <c r="E40" s="305" t="s">
        <v>286</v>
      </c>
      <c r="F40" s="305" t="s">
        <v>286</v>
      </c>
      <c r="G40" s="307" t="s">
        <v>286</v>
      </c>
      <c r="H40" s="307" t="s">
        <v>286</v>
      </c>
      <c r="I40" s="307" t="s">
        <v>286</v>
      </c>
      <c r="J40" s="307" t="s">
        <v>286</v>
      </c>
      <c r="K40" s="307" t="s">
        <v>286</v>
      </c>
      <c r="L40" s="307"/>
      <c r="M40" s="307" t="s">
        <v>286</v>
      </c>
      <c r="N40" s="307" t="s">
        <v>286</v>
      </c>
      <c r="O40" s="307" t="s">
        <v>286</v>
      </c>
      <c r="P40" s="307" t="s">
        <v>286</v>
      </c>
      <c r="Q40" s="307"/>
      <c r="R40" s="307"/>
      <c r="S40" s="307" t="s">
        <v>286</v>
      </c>
      <c r="T40" s="307" t="s">
        <v>286</v>
      </c>
    </row>
    <row r="41" spans="1:20" s="283" customFormat="1" x14ac:dyDescent="0.25">
      <c r="A41" s="289" t="s">
        <v>39</v>
      </c>
      <c r="B41" s="266" t="s">
        <v>938</v>
      </c>
      <c r="C41" s="288" t="s">
        <v>748</v>
      </c>
      <c r="D41" s="288">
        <v>58.96</v>
      </c>
      <c r="E41" s="305">
        <v>17.850000000000001</v>
      </c>
      <c r="F41" s="305">
        <v>41.72</v>
      </c>
      <c r="G41" s="307">
        <v>50.772210000000001</v>
      </c>
      <c r="H41" s="307">
        <v>52.719000000000001</v>
      </c>
      <c r="I41" s="307">
        <v>43.501010000000001</v>
      </c>
      <c r="J41" s="307">
        <v>74.998999999999995</v>
      </c>
      <c r="K41" s="307">
        <v>43.612000000000002</v>
      </c>
      <c r="L41" s="307">
        <v>113.533</v>
      </c>
      <c r="M41" s="326">
        <v>49.912289999999999</v>
      </c>
      <c r="N41" s="332"/>
      <c r="O41" s="326">
        <f>M41*1.063</f>
        <v>53.056764269999995</v>
      </c>
      <c r="P41" s="332"/>
      <c r="Q41" s="326">
        <f>O41*1.041</f>
        <v>55.232091605069989</v>
      </c>
      <c r="R41" s="326">
        <f>Q41*1.041</f>
        <v>57.496607360877853</v>
      </c>
      <c r="S41" s="326">
        <f>G41+I41+K41+O41+M41</f>
        <v>240.85427427000002</v>
      </c>
      <c r="T41" s="332"/>
    </row>
    <row r="42" spans="1:20" s="283" customFormat="1" x14ac:dyDescent="0.25">
      <c r="A42" s="289" t="s">
        <v>40</v>
      </c>
      <c r="B42" s="266" t="s">
        <v>939</v>
      </c>
      <c r="C42" s="288" t="s">
        <v>748</v>
      </c>
      <c r="D42" s="288"/>
      <c r="E42" s="305" t="s">
        <v>286</v>
      </c>
      <c r="F42" s="305" t="s">
        <v>286</v>
      </c>
      <c r="G42" s="307" t="s">
        <v>286</v>
      </c>
      <c r="H42" s="307" t="s">
        <v>286</v>
      </c>
      <c r="I42" s="307" t="s">
        <v>286</v>
      </c>
      <c r="J42" s="307" t="s">
        <v>286</v>
      </c>
      <c r="K42" s="307" t="s">
        <v>286</v>
      </c>
      <c r="L42" s="307"/>
      <c r="M42" s="307" t="s">
        <v>286</v>
      </c>
      <c r="N42" s="307" t="s">
        <v>286</v>
      </c>
      <c r="O42" s="307" t="s">
        <v>286</v>
      </c>
      <c r="P42" s="307" t="s">
        <v>286</v>
      </c>
      <c r="Q42" s="307"/>
      <c r="R42" s="307"/>
      <c r="S42" s="307" t="s">
        <v>286</v>
      </c>
      <c r="T42" s="307" t="s">
        <v>286</v>
      </c>
    </row>
    <row r="43" spans="1:20" s="283" customFormat="1" x14ac:dyDescent="0.25">
      <c r="A43" s="289" t="s">
        <v>41</v>
      </c>
      <c r="B43" s="266" t="s">
        <v>1052</v>
      </c>
      <c r="C43" s="288" t="s">
        <v>748</v>
      </c>
      <c r="D43" s="288"/>
      <c r="E43" s="305" t="s">
        <v>286</v>
      </c>
      <c r="F43" s="305" t="s">
        <v>286</v>
      </c>
      <c r="G43" s="307" t="s">
        <v>286</v>
      </c>
      <c r="H43" s="307" t="s">
        <v>286</v>
      </c>
      <c r="I43" s="307" t="s">
        <v>286</v>
      </c>
      <c r="J43" s="307" t="s">
        <v>286</v>
      </c>
      <c r="K43" s="307" t="s">
        <v>286</v>
      </c>
      <c r="L43" s="307"/>
      <c r="M43" s="307" t="s">
        <v>286</v>
      </c>
      <c r="N43" s="307" t="s">
        <v>286</v>
      </c>
      <c r="O43" s="307" t="s">
        <v>286</v>
      </c>
      <c r="P43" s="307" t="s">
        <v>286</v>
      </c>
      <c r="Q43" s="307"/>
      <c r="R43" s="307"/>
      <c r="S43" s="307" t="s">
        <v>286</v>
      </c>
      <c r="T43" s="307" t="s">
        <v>286</v>
      </c>
    </row>
    <row r="44" spans="1:20" s="283" customFormat="1" ht="31.5" x14ac:dyDescent="0.25">
      <c r="A44" s="289" t="s">
        <v>42</v>
      </c>
      <c r="B44" s="267" t="s">
        <v>817</v>
      </c>
      <c r="C44" s="288" t="s">
        <v>748</v>
      </c>
      <c r="D44" s="288"/>
      <c r="E44" s="305" t="s">
        <v>286</v>
      </c>
      <c r="F44" s="305" t="s">
        <v>286</v>
      </c>
      <c r="G44" s="307" t="s">
        <v>286</v>
      </c>
      <c r="H44" s="307" t="s">
        <v>286</v>
      </c>
      <c r="I44" s="307" t="s">
        <v>286</v>
      </c>
      <c r="J44" s="307" t="s">
        <v>286</v>
      </c>
      <c r="K44" s="307" t="s">
        <v>286</v>
      </c>
      <c r="L44" s="307"/>
      <c r="M44" s="307" t="s">
        <v>286</v>
      </c>
      <c r="N44" s="307" t="s">
        <v>286</v>
      </c>
      <c r="O44" s="307" t="s">
        <v>286</v>
      </c>
      <c r="P44" s="307" t="s">
        <v>286</v>
      </c>
      <c r="Q44" s="307"/>
      <c r="R44" s="307"/>
      <c r="S44" s="307" t="s">
        <v>286</v>
      </c>
      <c r="T44" s="307" t="s">
        <v>286</v>
      </c>
    </row>
    <row r="45" spans="1:20" s="283" customFormat="1" x14ac:dyDescent="0.25">
      <c r="A45" s="289" t="s">
        <v>976</v>
      </c>
      <c r="B45" s="136" t="s">
        <v>643</v>
      </c>
      <c r="C45" s="288" t="s">
        <v>748</v>
      </c>
      <c r="D45" s="288"/>
      <c r="E45" s="305" t="s">
        <v>286</v>
      </c>
      <c r="F45" s="305" t="s">
        <v>286</v>
      </c>
      <c r="G45" s="307" t="s">
        <v>286</v>
      </c>
      <c r="H45" s="307" t="s">
        <v>286</v>
      </c>
      <c r="I45" s="307" t="s">
        <v>286</v>
      </c>
      <c r="J45" s="307" t="s">
        <v>286</v>
      </c>
      <c r="K45" s="307" t="s">
        <v>286</v>
      </c>
      <c r="L45" s="307"/>
      <c r="M45" s="307" t="s">
        <v>286</v>
      </c>
      <c r="N45" s="307" t="s">
        <v>286</v>
      </c>
      <c r="O45" s="307" t="s">
        <v>286</v>
      </c>
      <c r="P45" s="307" t="s">
        <v>286</v>
      </c>
      <c r="Q45" s="307"/>
      <c r="R45" s="307"/>
      <c r="S45" s="307" t="s">
        <v>286</v>
      </c>
      <c r="T45" s="307" t="s">
        <v>286</v>
      </c>
    </row>
    <row r="46" spans="1:20" s="283" customFormat="1" x14ac:dyDescent="0.25">
      <c r="A46" s="289" t="s">
        <v>977</v>
      </c>
      <c r="B46" s="136" t="s">
        <v>631</v>
      </c>
      <c r="C46" s="288" t="s">
        <v>748</v>
      </c>
      <c r="D46" s="288"/>
      <c r="E46" s="305" t="s">
        <v>286</v>
      </c>
      <c r="F46" s="305" t="s">
        <v>286</v>
      </c>
      <c r="G46" s="307" t="s">
        <v>286</v>
      </c>
      <c r="H46" s="307" t="s">
        <v>286</v>
      </c>
      <c r="I46" s="307" t="s">
        <v>286</v>
      </c>
      <c r="J46" s="307" t="s">
        <v>286</v>
      </c>
      <c r="K46" s="307" t="s">
        <v>286</v>
      </c>
      <c r="L46" s="307"/>
      <c r="M46" s="307" t="s">
        <v>286</v>
      </c>
      <c r="N46" s="307" t="s">
        <v>286</v>
      </c>
      <c r="O46" s="307" t="s">
        <v>286</v>
      </c>
      <c r="P46" s="307" t="s">
        <v>286</v>
      </c>
      <c r="Q46" s="307"/>
      <c r="R46" s="307"/>
      <c r="S46" s="307" t="s">
        <v>286</v>
      </c>
      <c r="T46" s="307" t="s">
        <v>286</v>
      </c>
    </row>
    <row r="47" spans="1:20" s="283" customFormat="1" x14ac:dyDescent="0.25">
      <c r="A47" s="289" t="s">
        <v>43</v>
      </c>
      <c r="B47" s="266" t="s">
        <v>940</v>
      </c>
      <c r="C47" s="288" t="s">
        <v>748</v>
      </c>
      <c r="D47" s="288">
        <v>17.82</v>
      </c>
      <c r="E47" s="305">
        <v>64.81</v>
      </c>
      <c r="F47" s="305">
        <v>186.91</v>
      </c>
      <c r="G47" s="307">
        <v>163.381</v>
      </c>
      <c r="H47" s="307">
        <v>135.49588</v>
      </c>
      <c r="I47" s="307">
        <v>159.70847000000001</v>
      </c>
      <c r="J47" s="307">
        <v>125.821</v>
      </c>
      <c r="K47" s="307">
        <f>200.777-5.84</f>
        <v>194.93699999999998</v>
      </c>
      <c r="L47" s="307">
        <v>249.48699999999999</v>
      </c>
      <c r="M47" s="326">
        <f>257.68826</f>
        <v>257.68826000000001</v>
      </c>
      <c r="N47" s="332"/>
      <c r="O47" s="391">
        <f>M47*1.063-20</f>
        <v>253.92262038000001</v>
      </c>
      <c r="P47" s="332"/>
      <c r="Q47" s="326">
        <f>O47*1.041</f>
        <v>264.33344781557997</v>
      </c>
      <c r="R47" s="326">
        <f>Q47*1.041</f>
        <v>275.17111917601875</v>
      </c>
      <c r="S47" s="326">
        <f>G47+I47+K47+O47+M47</f>
        <v>1029.63735038</v>
      </c>
      <c r="T47" s="332"/>
    </row>
    <row r="48" spans="1:20" s="283" customFormat="1" x14ac:dyDescent="0.2">
      <c r="A48" s="298" t="s">
        <v>836</v>
      </c>
      <c r="B48" s="301" t="s">
        <v>1009</v>
      </c>
      <c r="C48" s="300" t="s">
        <v>748</v>
      </c>
      <c r="D48" s="311">
        <f t="shared" ref="D48:R48" si="4">D51+D55+D56</f>
        <v>631.36211999999989</v>
      </c>
      <c r="E48" s="311">
        <f t="shared" si="4"/>
        <v>631.06999999999994</v>
      </c>
      <c r="F48" s="311">
        <f>F51+F55+F56</f>
        <v>838.01709999999991</v>
      </c>
      <c r="G48" s="311">
        <f t="shared" si="4"/>
        <v>900.15779999999995</v>
      </c>
      <c r="H48" s="311">
        <f>H51+H55+H56</f>
        <v>689.36153999999988</v>
      </c>
      <c r="I48" s="311">
        <f t="shared" si="4"/>
        <v>1016.48605</v>
      </c>
      <c r="J48" s="331">
        <f>J51+J55+J56</f>
        <v>728.00447999999994</v>
      </c>
      <c r="K48" s="331">
        <f t="shared" si="4"/>
        <v>1089.7439999999999</v>
      </c>
      <c r="L48" s="331">
        <f t="shared" si="4"/>
        <v>900.92499999999995</v>
      </c>
      <c r="M48" s="331">
        <f>M51+M55+M56</f>
        <v>1275.3240000000001</v>
      </c>
      <c r="N48" s="362"/>
      <c r="O48" s="331">
        <f t="shared" si="4"/>
        <v>1326.3369600000001</v>
      </c>
      <c r="P48" s="362"/>
      <c r="Q48" s="331">
        <f t="shared" si="4"/>
        <v>1380.7967753600001</v>
      </c>
      <c r="R48" s="331">
        <f t="shared" si="4"/>
        <v>1437.4094431497599</v>
      </c>
      <c r="S48" s="327">
        <f>G48+I48+K48+O48+M48</f>
        <v>5608.0488100000002</v>
      </c>
      <c r="T48" s="362"/>
    </row>
    <row r="49" spans="1:20" s="283" customFormat="1" x14ac:dyDescent="0.25">
      <c r="A49" s="289" t="s">
        <v>837</v>
      </c>
      <c r="B49" s="136" t="s">
        <v>928</v>
      </c>
      <c r="C49" s="288" t="s">
        <v>748</v>
      </c>
      <c r="D49" s="288"/>
      <c r="E49" s="305" t="s">
        <v>286</v>
      </c>
      <c r="F49" s="305" t="s">
        <v>286</v>
      </c>
      <c r="G49" s="307" t="s">
        <v>286</v>
      </c>
      <c r="H49" s="307" t="s">
        <v>286</v>
      </c>
      <c r="I49" s="307" t="s">
        <v>286</v>
      </c>
      <c r="J49" s="307" t="s">
        <v>286</v>
      </c>
      <c r="K49" s="307" t="s">
        <v>286</v>
      </c>
      <c r="L49" s="307" t="s">
        <v>286</v>
      </c>
      <c r="M49" s="326"/>
      <c r="N49" s="307" t="s">
        <v>286</v>
      </c>
      <c r="O49" s="326" t="s">
        <v>286</v>
      </c>
      <c r="P49" s="307" t="s">
        <v>286</v>
      </c>
      <c r="Q49" s="307"/>
      <c r="R49" s="307"/>
      <c r="S49" s="332"/>
      <c r="T49" s="307" t="s">
        <v>286</v>
      </c>
    </row>
    <row r="50" spans="1:20" s="283" customFormat="1" x14ac:dyDescent="0.25">
      <c r="A50" s="289" t="s">
        <v>838</v>
      </c>
      <c r="B50" s="268" t="s">
        <v>1090</v>
      </c>
      <c r="C50" s="288" t="s">
        <v>748</v>
      </c>
      <c r="D50" s="288">
        <v>411.37</v>
      </c>
      <c r="E50" s="305">
        <v>421.87</v>
      </c>
      <c r="F50" s="305">
        <v>465.93709999999999</v>
      </c>
      <c r="G50" s="307">
        <v>677.86479999999995</v>
      </c>
      <c r="H50" s="307">
        <v>453.72372999999999</v>
      </c>
      <c r="I50" s="307">
        <v>797.78</v>
      </c>
      <c r="J50" s="330">
        <f>'[1]20 форма минпрома'!$DE$12/1000</f>
        <v>480.65040999999997</v>
      </c>
      <c r="K50" s="307">
        <f>K51</f>
        <v>822.20500000000004</v>
      </c>
      <c r="L50" s="307">
        <v>526.46100000000001</v>
      </c>
      <c r="M50" s="326">
        <f>M52</f>
        <v>1000.7</v>
      </c>
      <c r="N50" s="307" t="s">
        <v>286</v>
      </c>
      <c r="O50" s="326">
        <f>M50*1.04</f>
        <v>1040.7280000000001</v>
      </c>
      <c r="P50" s="307" t="s">
        <v>286</v>
      </c>
      <c r="Q50" s="326">
        <f t="shared" ref="Q50:Q52" si="5">O50*1.041</f>
        <v>1083.3978480000001</v>
      </c>
      <c r="R50" s="326">
        <f t="shared" ref="R50:R52" si="6">Q50*1.041</f>
        <v>1127.817159768</v>
      </c>
      <c r="S50" s="326">
        <f t="shared" ref="S50:S52" si="7">G50+I50+K50+O50+M50</f>
        <v>4339.2777999999998</v>
      </c>
      <c r="T50" s="307" t="s">
        <v>286</v>
      </c>
    </row>
    <row r="51" spans="1:20" s="283" customFormat="1" x14ac:dyDescent="0.25">
      <c r="A51" s="289" t="s">
        <v>839</v>
      </c>
      <c r="B51" s="270" t="s">
        <v>645</v>
      </c>
      <c r="C51" s="288" t="s">
        <v>748</v>
      </c>
      <c r="D51" s="305">
        <v>411.37212</v>
      </c>
      <c r="E51" s="305">
        <v>421.87</v>
      </c>
      <c r="F51" s="305">
        <v>465.93709999999999</v>
      </c>
      <c r="G51" s="307">
        <v>677.86479999999995</v>
      </c>
      <c r="H51" s="307">
        <v>453.72372999999999</v>
      </c>
      <c r="I51" s="307">
        <v>797.78</v>
      </c>
      <c r="J51" s="330">
        <f>'[1]20 форма минпрома'!$DE$13/1000</f>
        <v>480.65040999999997</v>
      </c>
      <c r="K51" s="307">
        <v>822.20500000000004</v>
      </c>
      <c r="L51" s="307">
        <v>526.46100000000001</v>
      </c>
      <c r="M51" s="326">
        <f>M52</f>
        <v>1000.7</v>
      </c>
      <c r="N51" s="307" t="s">
        <v>286</v>
      </c>
      <c r="O51" s="326">
        <f>M51*1.04</f>
        <v>1040.7280000000001</v>
      </c>
      <c r="P51" s="307" t="s">
        <v>286</v>
      </c>
      <c r="Q51" s="326">
        <f t="shared" si="5"/>
        <v>1083.3978480000001</v>
      </c>
      <c r="R51" s="326">
        <f t="shared" si="6"/>
        <v>1127.817159768</v>
      </c>
      <c r="S51" s="326">
        <f t="shared" si="7"/>
        <v>4339.2777999999998</v>
      </c>
      <c r="T51" s="307" t="s">
        <v>286</v>
      </c>
    </row>
    <row r="52" spans="1:20" s="283" customFormat="1" ht="31.5" x14ac:dyDescent="0.25">
      <c r="A52" s="289" t="s">
        <v>840</v>
      </c>
      <c r="B52" s="271" t="s">
        <v>520</v>
      </c>
      <c r="C52" s="288" t="s">
        <v>748</v>
      </c>
      <c r="D52" s="305">
        <v>411.34</v>
      </c>
      <c r="E52" s="305">
        <v>421.79</v>
      </c>
      <c r="F52" s="305">
        <v>465.738</v>
      </c>
      <c r="G52" s="307">
        <v>677.10765000000004</v>
      </c>
      <c r="H52" s="307">
        <v>453.69067999999999</v>
      </c>
      <c r="I52" s="307">
        <v>797.78</v>
      </c>
      <c r="J52" s="330">
        <f>'[1]20 форма минпрома'!$DE$16/1000</f>
        <v>471.87617999999998</v>
      </c>
      <c r="K52" s="307">
        <v>822.18700000000001</v>
      </c>
      <c r="L52" s="307">
        <v>484.45</v>
      </c>
      <c r="M52" s="326">
        <v>1000.7</v>
      </c>
      <c r="N52" s="307" t="s">
        <v>286</v>
      </c>
      <c r="O52" s="326">
        <f>M52*1.04</f>
        <v>1040.7280000000001</v>
      </c>
      <c r="P52" s="307" t="s">
        <v>286</v>
      </c>
      <c r="Q52" s="326">
        <f t="shared" si="5"/>
        <v>1083.3978480000001</v>
      </c>
      <c r="R52" s="326">
        <f t="shared" si="6"/>
        <v>1127.817159768</v>
      </c>
      <c r="S52" s="326">
        <f t="shared" si="7"/>
        <v>4338.5026500000004</v>
      </c>
      <c r="T52" s="307" t="s">
        <v>286</v>
      </c>
    </row>
    <row r="53" spans="1:20" s="283" customFormat="1" x14ac:dyDescent="0.25">
      <c r="A53" s="289" t="s">
        <v>841</v>
      </c>
      <c r="B53" s="271" t="s">
        <v>644</v>
      </c>
      <c r="C53" s="288" t="s">
        <v>748</v>
      </c>
      <c r="D53" s="288"/>
      <c r="E53" s="305" t="s">
        <v>286</v>
      </c>
      <c r="F53" s="305" t="s">
        <v>286</v>
      </c>
      <c r="G53" s="307" t="s">
        <v>286</v>
      </c>
      <c r="H53" s="307" t="s">
        <v>286</v>
      </c>
      <c r="I53" s="307" t="s">
        <v>286</v>
      </c>
      <c r="J53" s="307" t="s">
        <v>286</v>
      </c>
      <c r="K53" s="307" t="s">
        <v>286</v>
      </c>
      <c r="L53" s="307"/>
      <c r="M53" s="307" t="s">
        <v>286</v>
      </c>
      <c r="N53" s="307" t="s">
        <v>286</v>
      </c>
      <c r="O53" s="326" t="s">
        <v>286</v>
      </c>
      <c r="P53" s="307" t="s">
        <v>286</v>
      </c>
      <c r="Q53" s="307"/>
      <c r="R53" s="307"/>
      <c r="S53" s="307" t="s">
        <v>286</v>
      </c>
      <c r="T53" s="307" t="s">
        <v>286</v>
      </c>
    </row>
    <row r="54" spans="1:20" s="283" customFormat="1" x14ac:dyDescent="0.25">
      <c r="A54" s="289" t="s">
        <v>842</v>
      </c>
      <c r="B54" s="270" t="s">
        <v>605</v>
      </c>
      <c r="C54" s="288" t="s">
        <v>748</v>
      </c>
      <c r="D54" s="288"/>
      <c r="E54" s="305" t="s">
        <v>286</v>
      </c>
      <c r="F54" s="305" t="s">
        <v>286</v>
      </c>
      <c r="G54" s="307" t="s">
        <v>286</v>
      </c>
      <c r="H54" s="307" t="s">
        <v>286</v>
      </c>
      <c r="I54" s="307" t="s">
        <v>286</v>
      </c>
      <c r="J54" s="307" t="s">
        <v>286</v>
      </c>
      <c r="K54" s="307" t="s">
        <v>286</v>
      </c>
      <c r="L54" s="307"/>
      <c r="M54" s="307" t="s">
        <v>286</v>
      </c>
      <c r="N54" s="307" t="s">
        <v>286</v>
      </c>
      <c r="O54" s="326" t="s">
        <v>286</v>
      </c>
      <c r="P54" s="307" t="s">
        <v>286</v>
      </c>
      <c r="Q54" s="307"/>
      <c r="R54" s="307"/>
      <c r="S54" s="307" t="s">
        <v>286</v>
      </c>
      <c r="T54" s="307" t="s">
        <v>286</v>
      </c>
    </row>
    <row r="55" spans="1:20" s="283" customFormat="1" x14ac:dyDescent="0.25">
      <c r="A55" s="289" t="s">
        <v>843</v>
      </c>
      <c r="B55" s="268" t="s">
        <v>929</v>
      </c>
      <c r="C55" s="288" t="s">
        <v>748</v>
      </c>
      <c r="D55" s="288">
        <v>193.31</v>
      </c>
      <c r="E55" s="305">
        <v>177.43</v>
      </c>
      <c r="F55" s="305">
        <v>338.15</v>
      </c>
      <c r="G55" s="307">
        <v>189.41</v>
      </c>
      <c r="H55" s="307">
        <v>202.51</v>
      </c>
      <c r="I55" s="307">
        <v>184.47955999999999</v>
      </c>
      <c r="J55" s="364">
        <f>'[1]20 форма минпрома'!$DE$17/1000</f>
        <v>215.67402999999999</v>
      </c>
      <c r="K55" s="307">
        <f>241.03-5.84</f>
        <v>235.19</v>
      </c>
      <c r="L55" s="307">
        <v>341.76</v>
      </c>
      <c r="M55" s="326">
        <f>268.575-18.433-7.91</f>
        <v>242.232</v>
      </c>
      <c r="N55" s="307" t="s">
        <v>286</v>
      </c>
      <c r="O55" s="326">
        <f>M55*1.04</f>
        <v>251.92128</v>
      </c>
      <c r="P55" s="307" t="s">
        <v>286</v>
      </c>
      <c r="Q55" s="326">
        <f>O55*1.041+0.08</f>
        <v>262.33005247999995</v>
      </c>
      <c r="R55" s="326">
        <f t="shared" ref="R55:R56" si="8">Q55*1.041</f>
        <v>273.08558463167992</v>
      </c>
      <c r="S55" s="326">
        <f t="shared" ref="S55:S56" si="9">G55+I55+K55+O55+M55</f>
        <v>1103.2328399999999</v>
      </c>
      <c r="T55" s="307" t="s">
        <v>286</v>
      </c>
    </row>
    <row r="56" spans="1:20" s="283" customFormat="1" x14ac:dyDescent="0.25">
      <c r="A56" s="289" t="s">
        <v>844</v>
      </c>
      <c r="B56" s="268" t="s">
        <v>930</v>
      </c>
      <c r="C56" s="288" t="s">
        <v>748</v>
      </c>
      <c r="D56" s="288">
        <v>26.68</v>
      </c>
      <c r="E56" s="305">
        <v>31.77</v>
      </c>
      <c r="F56" s="305">
        <v>33.93</v>
      </c>
      <c r="G56" s="307">
        <v>32.883000000000003</v>
      </c>
      <c r="H56" s="307">
        <v>33.127809999999997</v>
      </c>
      <c r="I56" s="307">
        <v>34.226489999999998</v>
      </c>
      <c r="J56" s="364">
        <v>31.680040000000002</v>
      </c>
      <c r="K56" s="307">
        <v>32.348999999999997</v>
      </c>
      <c r="L56" s="307">
        <v>32.704000000000001</v>
      </c>
      <c r="M56" s="326">
        <v>32.392000000000003</v>
      </c>
      <c r="N56" s="307" t="s">
        <v>286</v>
      </c>
      <c r="O56" s="326">
        <f>M56*1.04</f>
        <v>33.687680000000007</v>
      </c>
      <c r="P56" s="307" t="s">
        <v>286</v>
      </c>
      <c r="Q56" s="326">
        <f t="shared" ref="Q56" si="10">O56*1.041</f>
        <v>35.068874880000003</v>
      </c>
      <c r="R56" s="326">
        <f t="shared" si="8"/>
        <v>36.506698750079998</v>
      </c>
      <c r="S56" s="326">
        <f t="shared" si="9"/>
        <v>165.53816999999998</v>
      </c>
      <c r="T56" s="307" t="s">
        <v>286</v>
      </c>
    </row>
    <row r="57" spans="1:20" s="283" customFormat="1" x14ac:dyDescent="0.25">
      <c r="A57" s="298" t="s">
        <v>845</v>
      </c>
      <c r="B57" s="301" t="s">
        <v>1010</v>
      </c>
      <c r="C57" s="300" t="s">
        <v>748</v>
      </c>
      <c r="D57" s="367">
        <f>D62</f>
        <v>31.26</v>
      </c>
      <c r="E57" s="325">
        <f>E62</f>
        <v>29.41</v>
      </c>
      <c r="F57" s="303">
        <f>F62</f>
        <v>48.24</v>
      </c>
      <c r="G57" s="308">
        <f>G62</f>
        <v>21.277000000000001</v>
      </c>
      <c r="H57" s="308">
        <f>H62</f>
        <v>11.5</v>
      </c>
      <c r="I57" s="308">
        <v>9.0618499999999997</v>
      </c>
      <c r="J57" s="308">
        <v>13.883840000000003</v>
      </c>
      <c r="K57" s="308">
        <f>K62</f>
        <v>20.27</v>
      </c>
      <c r="L57" s="308">
        <f>L62</f>
        <v>39.222999999999999</v>
      </c>
      <c r="M57" s="327">
        <f>M62</f>
        <v>19.756540000000001</v>
      </c>
      <c r="N57" s="327"/>
      <c r="O57" s="327">
        <f>O62</f>
        <v>21.001202020000001</v>
      </c>
      <c r="P57" s="327"/>
      <c r="Q57" s="327">
        <f>Q62</f>
        <v>21.862251302819999</v>
      </c>
      <c r="R57" s="327">
        <f>R62</f>
        <v>22.758603606235617</v>
      </c>
      <c r="S57" s="327">
        <f>G57+I57+K57+O57+M57</f>
        <v>91.366592020000013</v>
      </c>
      <c r="T57" s="362"/>
    </row>
    <row r="58" spans="1:20" s="283" customFormat="1" ht="31.5" x14ac:dyDescent="0.25">
      <c r="A58" s="289" t="s">
        <v>846</v>
      </c>
      <c r="B58" s="136" t="s">
        <v>732</v>
      </c>
      <c r="C58" s="288" t="s">
        <v>748</v>
      </c>
      <c r="D58" s="315" t="s">
        <v>286</v>
      </c>
      <c r="E58" s="288" t="s">
        <v>286</v>
      </c>
      <c r="F58" s="305" t="s">
        <v>286</v>
      </c>
      <c r="G58" s="307"/>
      <c r="H58" s="307"/>
      <c r="I58" s="307"/>
      <c r="J58" s="307"/>
      <c r="K58" s="307"/>
      <c r="L58" s="307" t="s">
        <v>286</v>
      </c>
      <c r="M58" s="326"/>
      <c r="N58" s="326" t="s">
        <v>286</v>
      </c>
      <c r="O58" s="326"/>
      <c r="P58" s="326" t="s">
        <v>286</v>
      </c>
      <c r="Q58" s="326"/>
      <c r="R58" s="326"/>
      <c r="S58" s="326"/>
      <c r="T58" s="326" t="s">
        <v>286</v>
      </c>
    </row>
    <row r="59" spans="1:20" s="283" customFormat="1" ht="31.5" x14ac:dyDescent="0.25">
      <c r="A59" s="289" t="s">
        <v>847</v>
      </c>
      <c r="B59" s="136" t="s">
        <v>734</v>
      </c>
      <c r="C59" s="288" t="s">
        <v>748</v>
      </c>
      <c r="D59" s="315" t="s">
        <v>286</v>
      </c>
      <c r="E59" s="288" t="s">
        <v>286</v>
      </c>
      <c r="F59" s="305" t="s">
        <v>286</v>
      </c>
      <c r="G59" s="307"/>
      <c r="H59" s="307"/>
      <c r="I59" s="307"/>
      <c r="J59" s="307"/>
      <c r="K59" s="307"/>
      <c r="L59" s="307" t="s">
        <v>286</v>
      </c>
      <c r="M59" s="326"/>
      <c r="N59" s="326" t="s">
        <v>286</v>
      </c>
      <c r="O59" s="326"/>
      <c r="P59" s="326" t="s">
        <v>286</v>
      </c>
      <c r="Q59" s="326"/>
      <c r="R59" s="326"/>
      <c r="S59" s="326"/>
      <c r="T59" s="326" t="s">
        <v>286</v>
      </c>
    </row>
    <row r="60" spans="1:20" s="283" customFormat="1" x14ac:dyDescent="0.25">
      <c r="A60" s="289" t="s">
        <v>848</v>
      </c>
      <c r="B60" s="268" t="s">
        <v>1046</v>
      </c>
      <c r="C60" s="288" t="s">
        <v>748</v>
      </c>
      <c r="D60" s="315" t="s">
        <v>286</v>
      </c>
      <c r="E60" s="288" t="s">
        <v>286</v>
      </c>
      <c r="F60" s="305" t="s">
        <v>286</v>
      </c>
      <c r="G60" s="307" t="s">
        <v>286</v>
      </c>
      <c r="H60" s="307" t="s">
        <v>286</v>
      </c>
      <c r="I60" s="307" t="s">
        <v>286</v>
      </c>
      <c r="J60" s="307" t="s">
        <v>286</v>
      </c>
      <c r="K60" s="307" t="s">
        <v>286</v>
      </c>
      <c r="L60" s="307" t="s">
        <v>286</v>
      </c>
      <c r="M60" s="326" t="s">
        <v>286</v>
      </c>
      <c r="N60" s="326" t="s">
        <v>286</v>
      </c>
      <c r="O60" s="326" t="s">
        <v>286</v>
      </c>
      <c r="P60" s="326" t="s">
        <v>286</v>
      </c>
      <c r="Q60" s="326"/>
      <c r="R60" s="326"/>
      <c r="S60" s="326" t="s">
        <v>286</v>
      </c>
      <c r="T60" s="326" t="s">
        <v>286</v>
      </c>
    </row>
    <row r="61" spans="1:20" s="283" customFormat="1" x14ac:dyDescent="0.25">
      <c r="A61" s="289" t="s">
        <v>849</v>
      </c>
      <c r="B61" s="268" t="s">
        <v>1132</v>
      </c>
      <c r="C61" s="288" t="s">
        <v>748</v>
      </c>
      <c r="D61" s="315" t="s">
        <v>286</v>
      </c>
      <c r="E61" s="288" t="s">
        <v>286</v>
      </c>
      <c r="F61" s="305" t="s">
        <v>286</v>
      </c>
      <c r="G61" s="307" t="s">
        <v>286</v>
      </c>
      <c r="H61" s="307" t="s">
        <v>286</v>
      </c>
      <c r="I61" s="307" t="s">
        <v>286</v>
      </c>
      <c r="J61" s="307" t="s">
        <v>286</v>
      </c>
      <c r="K61" s="307" t="s">
        <v>286</v>
      </c>
      <c r="L61" s="307" t="s">
        <v>286</v>
      </c>
      <c r="M61" s="326" t="s">
        <v>286</v>
      </c>
      <c r="N61" s="326" t="s">
        <v>286</v>
      </c>
      <c r="O61" s="326" t="s">
        <v>286</v>
      </c>
      <c r="P61" s="326" t="s">
        <v>286</v>
      </c>
      <c r="Q61" s="326"/>
      <c r="R61" s="326"/>
      <c r="S61" s="326" t="s">
        <v>286</v>
      </c>
      <c r="T61" s="326" t="s">
        <v>286</v>
      </c>
    </row>
    <row r="62" spans="1:20" s="283" customFormat="1" x14ac:dyDescent="0.2">
      <c r="A62" s="289" t="s">
        <v>850</v>
      </c>
      <c r="B62" s="268" t="s">
        <v>521</v>
      </c>
      <c r="C62" s="288" t="s">
        <v>748</v>
      </c>
      <c r="D62" s="316">
        <v>31.26</v>
      </c>
      <c r="E62" s="317">
        <v>29.41</v>
      </c>
      <c r="F62" s="305">
        <v>48.24</v>
      </c>
      <c r="G62" s="307">
        <v>21.277000000000001</v>
      </c>
      <c r="H62" s="307">
        <v>11.5</v>
      </c>
      <c r="I62" s="307">
        <v>9.0618499999999997</v>
      </c>
      <c r="J62" s="307">
        <v>13.883840000000003</v>
      </c>
      <c r="K62" s="307">
        <v>20.27</v>
      </c>
      <c r="L62" s="307">
        <v>39.222999999999999</v>
      </c>
      <c r="M62" s="326">
        <v>19.756540000000001</v>
      </c>
      <c r="N62" s="326"/>
      <c r="O62" s="326">
        <f>M62*1.063</f>
        <v>21.001202020000001</v>
      </c>
      <c r="P62" s="332"/>
      <c r="Q62" s="326">
        <f t="shared" ref="Q62" si="11">O62*1.041</f>
        <v>21.862251302819999</v>
      </c>
      <c r="R62" s="326">
        <f t="shared" ref="R62" si="12">Q62*1.041</f>
        <v>22.758603606235617</v>
      </c>
      <c r="S62" s="326">
        <f t="shared" ref="S62" si="13">G62+I62+K62+O62+M62</f>
        <v>91.366592020000013</v>
      </c>
      <c r="T62" s="332"/>
    </row>
    <row r="63" spans="1:20" s="283" customFormat="1" x14ac:dyDescent="0.25">
      <c r="A63" s="298" t="s">
        <v>851</v>
      </c>
      <c r="B63" s="301" t="s">
        <v>820</v>
      </c>
      <c r="C63" s="300" t="s">
        <v>748</v>
      </c>
      <c r="D63" s="300">
        <v>744.8</v>
      </c>
      <c r="E63" s="303">
        <v>780.06</v>
      </c>
      <c r="F63" s="303">
        <v>852.38</v>
      </c>
      <c r="G63" s="308">
        <v>854.92547000000002</v>
      </c>
      <c r="H63" s="308">
        <v>910.31956000000002</v>
      </c>
      <c r="I63" s="308">
        <v>830.89805999999999</v>
      </c>
      <c r="J63" s="308">
        <v>983.19913999999994</v>
      </c>
      <c r="K63" s="325">
        <v>870.75</v>
      </c>
      <c r="L63" s="308">
        <v>1104.1589999999999</v>
      </c>
      <c r="M63" s="327">
        <v>981.94095000000004</v>
      </c>
      <c r="N63" s="327"/>
      <c r="O63" s="327">
        <v>1043.8</v>
      </c>
      <c r="P63" s="327"/>
      <c r="Q63" s="327">
        <f>O63*1.041</f>
        <v>1086.5957999999998</v>
      </c>
      <c r="R63" s="327">
        <f>Q63*1.041</f>
        <v>1131.1462277999997</v>
      </c>
      <c r="S63" s="327">
        <f>G63+I63+K63+O63+M63</f>
        <v>4582.31448</v>
      </c>
      <c r="T63" s="327"/>
    </row>
    <row r="64" spans="1:20" s="285" customFormat="1" x14ac:dyDescent="0.25">
      <c r="A64" s="298" t="s">
        <v>852</v>
      </c>
      <c r="B64" s="301" t="s">
        <v>1137</v>
      </c>
      <c r="C64" s="300" t="s">
        <v>748</v>
      </c>
      <c r="D64" s="300">
        <v>89.52</v>
      </c>
      <c r="E64" s="303">
        <v>98.65</v>
      </c>
      <c r="F64" s="303">
        <v>104.12</v>
      </c>
      <c r="G64" s="304">
        <v>95.522900000000007</v>
      </c>
      <c r="H64" s="304">
        <v>116.15149</v>
      </c>
      <c r="I64" s="304">
        <v>100.02159</v>
      </c>
      <c r="J64" s="365">
        <v>123.64</v>
      </c>
      <c r="K64" s="304">
        <f>K65+K67</f>
        <v>142.10366000000002</v>
      </c>
      <c r="L64" s="304">
        <f>L65+L67</f>
        <v>142.40123</v>
      </c>
      <c r="M64" s="331">
        <f>M65+M67</f>
        <v>147.34</v>
      </c>
      <c r="N64" s="331"/>
      <c r="O64" s="331">
        <f>O65+O67</f>
        <v>156.04400000000001</v>
      </c>
      <c r="P64" s="331"/>
      <c r="Q64" s="331">
        <f t="shared" ref="Q64:R64" si="14">Q65+Q67</f>
        <v>162.36308399999999</v>
      </c>
      <c r="R64" s="331">
        <f t="shared" si="14"/>
        <v>168.94125044399996</v>
      </c>
      <c r="S64" s="327">
        <f>G64+I64+K64+O64+M64</f>
        <v>641.03215</v>
      </c>
      <c r="T64" s="331"/>
    </row>
    <row r="65" spans="1:20" s="285" customFormat="1" x14ac:dyDescent="0.25">
      <c r="A65" s="289" t="s">
        <v>111</v>
      </c>
      <c r="B65" s="268" t="s">
        <v>1122</v>
      </c>
      <c r="C65" s="288" t="s">
        <v>748</v>
      </c>
      <c r="D65" s="288"/>
      <c r="E65" s="305" t="s">
        <v>286</v>
      </c>
      <c r="F65" s="305" t="s">
        <v>286</v>
      </c>
      <c r="G65" s="305">
        <f>G64</f>
        <v>95.522900000000007</v>
      </c>
      <c r="H65" s="305">
        <f>H64</f>
        <v>116.15149</v>
      </c>
      <c r="I65" s="305">
        <f>I64</f>
        <v>100.02159</v>
      </c>
      <c r="J65" s="305">
        <f>J64</f>
        <v>123.64</v>
      </c>
      <c r="K65" s="305">
        <v>140.16076000000001</v>
      </c>
      <c r="L65" s="305">
        <v>140.45831999999999</v>
      </c>
      <c r="M65" s="330">
        <f>155.4-10</f>
        <v>145.4</v>
      </c>
      <c r="N65" s="330"/>
      <c r="O65" s="330">
        <f>M65*1.06</f>
        <v>154.12400000000002</v>
      </c>
      <c r="P65" s="330"/>
      <c r="Q65" s="326">
        <f t="shared" ref="Q65" si="15">O65*1.041</f>
        <v>160.443084</v>
      </c>
      <c r="R65" s="326">
        <f t="shared" ref="R65" si="16">Q65*1.041</f>
        <v>167.02125044399997</v>
      </c>
      <c r="S65" s="326">
        <f>G65+I65+K65+O65+M65</f>
        <v>635.22924999999998</v>
      </c>
      <c r="T65" s="330"/>
    </row>
    <row r="66" spans="1:20" s="285" customFormat="1" x14ac:dyDescent="0.25">
      <c r="A66" s="289" t="s">
        <v>1091</v>
      </c>
      <c r="B66" s="268" t="s">
        <v>1131</v>
      </c>
      <c r="C66" s="288" t="s">
        <v>748</v>
      </c>
      <c r="D66" s="288"/>
      <c r="E66" s="305" t="s">
        <v>286</v>
      </c>
      <c r="F66" s="305" t="s">
        <v>286</v>
      </c>
      <c r="G66" s="305" t="s">
        <v>286</v>
      </c>
      <c r="H66" s="305" t="s">
        <v>286</v>
      </c>
      <c r="I66" s="305" t="s">
        <v>286</v>
      </c>
      <c r="J66" s="305" t="s">
        <v>286</v>
      </c>
      <c r="K66" s="305" t="s">
        <v>286</v>
      </c>
      <c r="L66" s="305" t="s">
        <v>286</v>
      </c>
      <c r="M66" s="305" t="s">
        <v>286</v>
      </c>
      <c r="N66" s="305" t="s">
        <v>286</v>
      </c>
      <c r="O66" s="305" t="s">
        <v>286</v>
      </c>
      <c r="P66" s="305" t="s">
        <v>286</v>
      </c>
      <c r="Q66" s="305"/>
      <c r="R66" s="305"/>
      <c r="S66" s="305" t="s">
        <v>286</v>
      </c>
      <c r="T66" s="305" t="s">
        <v>286</v>
      </c>
    </row>
    <row r="67" spans="1:20" s="285" customFormat="1" x14ac:dyDescent="0.25">
      <c r="A67" s="289" t="s">
        <v>1092</v>
      </c>
      <c r="B67" s="268" t="s">
        <v>1125</v>
      </c>
      <c r="C67" s="288" t="s">
        <v>748</v>
      </c>
      <c r="D67" s="288"/>
      <c r="E67" s="305" t="s">
        <v>286</v>
      </c>
      <c r="F67" s="305" t="s">
        <v>286</v>
      </c>
      <c r="G67" s="305" t="s">
        <v>286</v>
      </c>
      <c r="H67" s="305" t="s">
        <v>286</v>
      </c>
      <c r="I67" s="305" t="s">
        <v>286</v>
      </c>
      <c r="J67" s="305" t="s">
        <v>286</v>
      </c>
      <c r="K67" s="305">
        <v>1.9429000000000001</v>
      </c>
      <c r="L67" s="305">
        <v>1.9429099999999999</v>
      </c>
      <c r="M67" s="330">
        <v>1.94</v>
      </c>
      <c r="N67" s="330"/>
      <c r="O67" s="330">
        <v>1.92</v>
      </c>
      <c r="P67" s="330"/>
      <c r="Q67" s="326">
        <f>O67</f>
        <v>1.92</v>
      </c>
      <c r="R67" s="326">
        <f>Q67</f>
        <v>1.92</v>
      </c>
      <c r="S67" s="326">
        <f>K67+O67+M67</f>
        <v>5.8028999999999993</v>
      </c>
      <c r="T67" s="330"/>
    </row>
    <row r="68" spans="1:20" s="285" customFormat="1" x14ac:dyDescent="0.25">
      <c r="A68" s="289" t="s">
        <v>1093</v>
      </c>
      <c r="B68" s="268" t="s">
        <v>1130</v>
      </c>
      <c r="C68" s="288" t="s">
        <v>748</v>
      </c>
      <c r="D68" s="288"/>
      <c r="E68" s="305" t="s">
        <v>286</v>
      </c>
      <c r="F68" s="305" t="s">
        <v>286</v>
      </c>
      <c r="G68" s="305" t="s">
        <v>286</v>
      </c>
      <c r="H68" s="305" t="s">
        <v>286</v>
      </c>
      <c r="I68" s="305" t="s">
        <v>286</v>
      </c>
      <c r="J68" s="305" t="s">
        <v>286</v>
      </c>
      <c r="K68" s="305" t="s">
        <v>286</v>
      </c>
      <c r="L68" s="305" t="s">
        <v>286</v>
      </c>
      <c r="M68" s="305" t="s">
        <v>286</v>
      </c>
      <c r="N68" s="305" t="s">
        <v>286</v>
      </c>
      <c r="O68" s="305" t="s">
        <v>286</v>
      </c>
      <c r="P68" s="305" t="s">
        <v>286</v>
      </c>
      <c r="Q68" s="305"/>
      <c r="R68" s="305"/>
      <c r="S68" s="305" t="s">
        <v>286</v>
      </c>
      <c r="T68" s="305" t="s">
        <v>286</v>
      </c>
    </row>
    <row r="69" spans="1:20" s="285" customFormat="1" x14ac:dyDescent="0.25">
      <c r="A69" s="289" t="s">
        <v>1094</v>
      </c>
      <c r="B69" s="268" t="s">
        <v>1095</v>
      </c>
      <c r="C69" s="288" t="s">
        <v>748</v>
      </c>
      <c r="D69" s="288"/>
      <c r="E69" s="305" t="s">
        <v>286</v>
      </c>
      <c r="F69" s="305" t="s">
        <v>286</v>
      </c>
      <c r="G69" s="305" t="s">
        <v>286</v>
      </c>
      <c r="H69" s="305" t="s">
        <v>286</v>
      </c>
      <c r="I69" s="305" t="s">
        <v>286</v>
      </c>
      <c r="J69" s="305" t="s">
        <v>286</v>
      </c>
      <c r="K69" s="305" t="s">
        <v>286</v>
      </c>
      <c r="L69" s="305" t="s">
        <v>286</v>
      </c>
      <c r="M69" s="305" t="s">
        <v>286</v>
      </c>
      <c r="N69" s="305" t="s">
        <v>286</v>
      </c>
      <c r="O69" s="305" t="s">
        <v>286</v>
      </c>
      <c r="P69" s="305" t="s">
        <v>286</v>
      </c>
      <c r="Q69" s="305"/>
      <c r="R69" s="305"/>
      <c r="S69" s="305" t="s">
        <v>286</v>
      </c>
      <c r="T69" s="305" t="s">
        <v>286</v>
      </c>
    </row>
    <row r="70" spans="1:20" s="283" customFormat="1" x14ac:dyDescent="0.25">
      <c r="A70" s="298" t="s">
        <v>853</v>
      </c>
      <c r="B70" s="301" t="s">
        <v>1011</v>
      </c>
      <c r="C70" s="300" t="s">
        <v>748</v>
      </c>
      <c r="D70" s="300">
        <v>16.27</v>
      </c>
      <c r="E70" s="303">
        <f>E71+E72</f>
        <v>17.25</v>
      </c>
      <c r="F70" s="303">
        <v>17.920000000000002</v>
      </c>
      <c r="G70" s="304">
        <v>17.350950000000001</v>
      </c>
      <c r="H70" s="304">
        <v>19.138960000000001</v>
      </c>
      <c r="I70" s="304">
        <v>17.78012</v>
      </c>
      <c r="J70" s="308">
        <f>J71+J72</f>
        <v>21.47917</v>
      </c>
      <c r="K70" s="308">
        <f>K71+K72</f>
        <v>23.624000000000002</v>
      </c>
      <c r="L70" s="308">
        <f>L71+L72</f>
        <v>23.834</v>
      </c>
      <c r="M70" s="327">
        <f>M71+M72</f>
        <v>5.0987999999999998</v>
      </c>
      <c r="N70" s="327"/>
      <c r="O70" s="327">
        <f>O71+O72</f>
        <v>5.4200243999999991</v>
      </c>
      <c r="P70" s="327"/>
      <c r="Q70" s="327">
        <f t="shared" ref="Q70:R70" si="17">Q71+Q72</f>
        <v>5.6422454003999984</v>
      </c>
      <c r="R70" s="327">
        <f t="shared" si="17"/>
        <v>5.8735774618163985</v>
      </c>
      <c r="S70" s="327">
        <f>S71+S72</f>
        <v>69.273894399999989</v>
      </c>
      <c r="T70" s="327"/>
    </row>
    <row r="71" spans="1:20" s="283" customFormat="1" x14ac:dyDescent="0.25">
      <c r="A71" s="289" t="s">
        <v>113</v>
      </c>
      <c r="B71" s="268" t="s">
        <v>796</v>
      </c>
      <c r="C71" s="288" t="s">
        <v>748</v>
      </c>
      <c r="D71" s="288">
        <v>13.72</v>
      </c>
      <c r="E71" s="305">
        <v>14.91</v>
      </c>
      <c r="F71" s="305">
        <v>15.75</v>
      </c>
      <c r="G71" s="306">
        <v>15.000999999999999</v>
      </c>
      <c r="H71" s="306">
        <v>16.841139999999999</v>
      </c>
      <c r="I71" s="306">
        <v>15.62617</v>
      </c>
      <c r="J71" s="307">
        <v>19.07986</v>
      </c>
      <c r="K71" s="307">
        <v>21.123000000000001</v>
      </c>
      <c r="L71" s="305">
        <v>21.384</v>
      </c>
      <c r="M71" s="326">
        <v>2.6659999999999999</v>
      </c>
      <c r="N71" s="305" t="s">
        <v>286</v>
      </c>
      <c r="O71" s="326">
        <f>M71*1.063</f>
        <v>2.833958</v>
      </c>
      <c r="P71" s="305" t="s">
        <v>286</v>
      </c>
      <c r="Q71" s="326">
        <f t="shared" ref="Q71:Q72" si="18">O71*1.041</f>
        <v>2.9501502779999997</v>
      </c>
      <c r="R71" s="326">
        <f t="shared" ref="R71:R80" si="19">Q71*1.041</f>
        <v>3.0711064393979997</v>
      </c>
      <c r="S71" s="326">
        <f t="shared" ref="S71:S78" si="20">G71+I71+K71+O71+M71</f>
        <v>57.250127999999997</v>
      </c>
      <c r="T71" s="305" t="s">
        <v>286</v>
      </c>
    </row>
    <row r="72" spans="1:20" s="283" customFormat="1" x14ac:dyDescent="0.25">
      <c r="A72" s="289" t="s">
        <v>793</v>
      </c>
      <c r="B72" s="268" t="s">
        <v>64</v>
      </c>
      <c r="C72" s="288" t="s">
        <v>748</v>
      </c>
      <c r="D72" s="288">
        <v>2.5499999999999998</v>
      </c>
      <c r="E72" s="305">
        <v>2.34</v>
      </c>
      <c r="F72" s="305">
        <v>2.16</v>
      </c>
      <c r="G72" s="306">
        <v>2.3499500000000002</v>
      </c>
      <c r="H72" s="306">
        <v>2.2978200000000002</v>
      </c>
      <c r="I72" s="306">
        <v>2.15395</v>
      </c>
      <c r="J72" s="307">
        <v>2.3993099999999998</v>
      </c>
      <c r="K72" s="307">
        <v>2.5009999999999999</v>
      </c>
      <c r="L72" s="305">
        <v>2.4500000000000002</v>
      </c>
      <c r="M72" s="326">
        <v>2.4327999999999999</v>
      </c>
      <c r="N72" s="305" t="s">
        <v>286</v>
      </c>
      <c r="O72" s="326">
        <f>M72*1.063</f>
        <v>2.5860663999999995</v>
      </c>
      <c r="P72" s="305" t="s">
        <v>286</v>
      </c>
      <c r="Q72" s="326">
        <f t="shared" si="18"/>
        <v>2.6920951223999992</v>
      </c>
      <c r="R72" s="326">
        <f t="shared" si="19"/>
        <v>2.8024710224183988</v>
      </c>
      <c r="S72" s="326">
        <f t="shared" si="20"/>
        <v>12.0237664</v>
      </c>
      <c r="T72" s="305" t="s">
        <v>286</v>
      </c>
    </row>
    <row r="73" spans="1:20" s="283" customFormat="1" x14ac:dyDescent="0.25">
      <c r="A73" s="298" t="s">
        <v>854</v>
      </c>
      <c r="B73" s="301" t="s">
        <v>1012</v>
      </c>
      <c r="C73" s="300" t="s">
        <v>748</v>
      </c>
      <c r="D73" s="300">
        <v>147.38</v>
      </c>
      <c r="E73" s="303">
        <f>E74+E75+E76</f>
        <v>102.61</v>
      </c>
      <c r="F73" s="303">
        <v>111.41</v>
      </c>
      <c r="G73" s="304">
        <v>92.08681</v>
      </c>
      <c r="H73" s="304">
        <v>117.27879999999999</v>
      </c>
      <c r="I73" s="304">
        <v>95.819700000000012</v>
      </c>
      <c r="J73" s="308">
        <f>J74+J75+J76</f>
        <v>121.04706999999999</v>
      </c>
      <c r="K73" s="327">
        <f>K74+K75+K76</f>
        <v>92.638580000000005</v>
      </c>
      <c r="L73" s="327">
        <f>L74+L75+L76</f>
        <v>144.93642</v>
      </c>
      <c r="M73" s="327">
        <f>M74+M75+M76</f>
        <v>98.811909999999997</v>
      </c>
      <c r="N73" s="327"/>
      <c r="O73" s="327">
        <f>O74+O75+O76</f>
        <v>102.76438640000001</v>
      </c>
      <c r="P73" s="327"/>
      <c r="Q73" s="327">
        <f t="shared" ref="Q73:R73" si="21">Q74+Q75+Q76</f>
        <v>106.9777262424</v>
      </c>
      <c r="R73" s="327">
        <f t="shared" si="21"/>
        <v>111.36381301833839</v>
      </c>
      <c r="S73" s="327">
        <f>S74+S75+S76</f>
        <v>482.12138640000001</v>
      </c>
      <c r="T73" s="327"/>
    </row>
    <row r="74" spans="1:20" s="283" customFormat="1" x14ac:dyDescent="0.25">
      <c r="A74" s="289" t="s">
        <v>855</v>
      </c>
      <c r="B74" s="268" t="s">
        <v>522</v>
      </c>
      <c r="C74" s="288" t="s">
        <v>748</v>
      </c>
      <c r="D74" s="288">
        <v>39.020000000000003</v>
      </c>
      <c r="E74" s="305">
        <v>38.28</v>
      </c>
      <c r="F74" s="305">
        <v>47.15</v>
      </c>
      <c r="G74" s="306">
        <v>35.866999999999997</v>
      </c>
      <c r="H74" s="306">
        <v>52.631459999999997</v>
      </c>
      <c r="I74" s="306">
        <v>39.371200000000002</v>
      </c>
      <c r="J74" s="307">
        <v>59.692769999999996</v>
      </c>
      <c r="K74" s="326">
        <v>41.514580000000002</v>
      </c>
      <c r="L74" s="305">
        <v>69.61148</v>
      </c>
      <c r="M74" s="326">
        <v>43.28</v>
      </c>
      <c r="N74" s="305" t="s">
        <v>286</v>
      </c>
      <c r="O74" s="326">
        <f>M74*1.04</f>
        <v>45.011200000000002</v>
      </c>
      <c r="P74" s="305" t="s">
        <v>286</v>
      </c>
      <c r="Q74" s="326">
        <f t="shared" ref="Q74:Q76" si="22">O74*1.041</f>
        <v>46.856659199999996</v>
      </c>
      <c r="R74" s="326">
        <f t="shared" si="19"/>
        <v>48.777782227199992</v>
      </c>
      <c r="S74" s="326">
        <f t="shared" si="20"/>
        <v>205.04398</v>
      </c>
      <c r="T74" s="326"/>
    </row>
    <row r="75" spans="1:20" s="283" customFormat="1" ht="15.75" customHeight="1" x14ac:dyDescent="0.25">
      <c r="A75" s="289" t="s">
        <v>856</v>
      </c>
      <c r="B75" s="268" t="s">
        <v>523</v>
      </c>
      <c r="C75" s="288" t="s">
        <v>748</v>
      </c>
      <c r="D75" s="288">
        <v>31.72</v>
      </c>
      <c r="E75" s="305">
        <v>23.02</v>
      </c>
      <c r="F75" s="305">
        <v>16.170000000000002</v>
      </c>
      <c r="G75" s="307">
        <v>9.3278099999999995</v>
      </c>
      <c r="H75" s="307">
        <v>3.62418</v>
      </c>
      <c r="I75" s="307">
        <v>10.72128</v>
      </c>
      <c r="J75" s="307">
        <v>7.3379899999999996</v>
      </c>
      <c r="K75" s="314">
        <v>6.11</v>
      </c>
      <c r="L75" s="305">
        <v>5.6976100000000001</v>
      </c>
      <c r="M75" s="326">
        <v>7.3586999999999998</v>
      </c>
      <c r="N75" s="305" t="s">
        <v>286</v>
      </c>
      <c r="O75" s="326">
        <f>M75*1.04</f>
        <v>7.6530480000000001</v>
      </c>
      <c r="P75" s="305" t="s">
        <v>286</v>
      </c>
      <c r="Q75" s="326">
        <f t="shared" si="22"/>
        <v>7.9668229679999998</v>
      </c>
      <c r="R75" s="326">
        <f t="shared" si="19"/>
        <v>8.2934627096879989</v>
      </c>
      <c r="S75" s="326">
        <f t="shared" si="20"/>
        <v>41.170837999999996</v>
      </c>
      <c r="T75" s="326"/>
    </row>
    <row r="76" spans="1:20" s="283" customFormat="1" x14ac:dyDescent="0.25">
      <c r="A76" s="289" t="s">
        <v>857</v>
      </c>
      <c r="B76" s="268" t="s">
        <v>524</v>
      </c>
      <c r="C76" s="288" t="s">
        <v>748</v>
      </c>
      <c r="D76" s="288">
        <v>76.64</v>
      </c>
      <c r="E76" s="305">
        <v>41.31</v>
      </c>
      <c r="F76" s="305">
        <v>48.09</v>
      </c>
      <c r="G76" s="307">
        <v>46.892000000000003</v>
      </c>
      <c r="H76" s="307">
        <v>61.023159999999997</v>
      </c>
      <c r="I76" s="307">
        <v>45.727220000000003</v>
      </c>
      <c r="J76" s="307">
        <v>54.016309999999997</v>
      </c>
      <c r="K76" s="307">
        <f>46.414-1.4</f>
        <v>45.014000000000003</v>
      </c>
      <c r="L76" s="305">
        <v>69.627330000000001</v>
      </c>
      <c r="M76" s="326">
        <v>48.173209999999997</v>
      </c>
      <c r="N76" s="305" t="s">
        <v>286</v>
      </c>
      <c r="O76" s="326">
        <f>M76*1.04</f>
        <v>50.100138399999999</v>
      </c>
      <c r="P76" s="305" t="s">
        <v>286</v>
      </c>
      <c r="Q76" s="326">
        <f t="shared" si="22"/>
        <v>52.154244074399998</v>
      </c>
      <c r="R76" s="326">
        <f t="shared" si="19"/>
        <v>54.292568081450391</v>
      </c>
      <c r="S76" s="326">
        <f t="shared" si="20"/>
        <v>235.90656840000003</v>
      </c>
      <c r="T76" s="326"/>
    </row>
    <row r="77" spans="1:20" s="291" customFormat="1" x14ac:dyDescent="0.25">
      <c r="A77" s="298" t="s">
        <v>858</v>
      </c>
      <c r="B77" s="301" t="s">
        <v>863</v>
      </c>
      <c r="C77" s="300" t="s">
        <v>286</v>
      </c>
      <c r="D77" s="302" t="s">
        <v>590</v>
      </c>
      <c r="E77" s="302" t="s">
        <v>590</v>
      </c>
      <c r="F77" s="302" t="s">
        <v>590</v>
      </c>
      <c r="G77" s="302" t="s">
        <v>590</v>
      </c>
      <c r="H77" s="302" t="s">
        <v>590</v>
      </c>
      <c r="I77" s="302" t="s">
        <v>590</v>
      </c>
      <c r="J77" s="325" t="s">
        <v>590</v>
      </c>
      <c r="K77" s="325" t="s">
        <v>590</v>
      </c>
      <c r="L77" s="325" t="s">
        <v>590</v>
      </c>
      <c r="M77" s="325" t="s">
        <v>590</v>
      </c>
      <c r="N77" s="325" t="s">
        <v>590</v>
      </c>
      <c r="O77" s="327" t="s">
        <v>590</v>
      </c>
      <c r="P77" s="327" t="s">
        <v>590</v>
      </c>
      <c r="Q77" s="327" t="s">
        <v>590</v>
      </c>
      <c r="R77" s="327" t="s">
        <v>590</v>
      </c>
      <c r="S77" s="327" t="s">
        <v>590</v>
      </c>
      <c r="T77" s="327" t="s">
        <v>590</v>
      </c>
    </row>
    <row r="78" spans="1:20" s="283" customFormat="1" x14ac:dyDescent="0.25">
      <c r="A78" s="289" t="s">
        <v>859</v>
      </c>
      <c r="B78" s="268" t="s">
        <v>65</v>
      </c>
      <c r="C78" s="288" t="s">
        <v>748</v>
      </c>
      <c r="D78" s="288">
        <v>87.99</v>
      </c>
      <c r="E78" s="305">
        <v>83.7</v>
      </c>
      <c r="F78" s="305">
        <v>118.41</v>
      </c>
      <c r="G78" s="307">
        <v>57.398000000000003</v>
      </c>
      <c r="H78" s="307">
        <v>92.016239999999996</v>
      </c>
      <c r="I78" s="307">
        <v>59.070540000000001</v>
      </c>
      <c r="J78" s="326">
        <v>86.640990000000002</v>
      </c>
      <c r="K78" s="326">
        <v>61.359000000000002</v>
      </c>
      <c r="L78" s="307">
        <v>94.454999999999998</v>
      </c>
      <c r="M78" s="326">
        <v>64.199309999999997</v>
      </c>
      <c r="N78" s="307" t="s">
        <v>286</v>
      </c>
      <c r="O78" s="326">
        <f>M78*1.063</f>
        <v>68.243866529999991</v>
      </c>
      <c r="P78" s="307" t="s">
        <v>286</v>
      </c>
      <c r="Q78" s="326">
        <f t="shared" ref="Q78" si="23">O78*1.041</f>
        <v>71.041865057729979</v>
      </c>
      <c r="R78" s="326">
        <f t="shared" si="19"/>
        <v>73.954581525096899</v>
      </c>
      <c r="S78" s="326">
        <f t="shared" si="20"/>
        <v>310.27071652999996</v>
      </c>
      <c r="T78" s="307" t="s">
        <v>286</v>
      </c>
    </row>
    <row r="79" spans="1:20" s="283" customFormat="1" x14ac:dyDescent="0.25">
      <c r="A79" s="289" t="s">
        <v>860</v>
      </c>
      <c r="B79" s="268" t="s">
        <v>66</v>
      </c>
      <c r="C79" s="288" t="s">
        <v>748</v>
      </c>
      <c r="D79" s="305" t="s">
        <v>286</v>
      </c>
      <c r="E79" s="305" t="s">
        <v>286</v>
      </c>
      <c r="F79" s="305" t="s">
        <v>286</v>
      </c>
      <c r="G79" s="305" t="s">
        <v>286</v>
      </c>
      <c r="H79" s="307" t="s">
        <v>286</v>
      </c>
      <c r="I79" s="307" t="s">
        <v>286</v>
      </c>
      <c r="J79" s="307" t="s">
        <v>286</v>
      </c>
      <c r="K79" s="307" t="s">
        <v>286</v>
      </c>
      <c r="L79" s="307"/>
      <c r="M79" s="326" t="s">
        <v>286</v>
      </c>
      <c r="N79" s="307" t="s">
        <v>286</v>
      </c>
      <c r="O79" s="307" t="s">
        <v>286</v>
      </c>
      <c r="P79" s="307" t="s">
        <v>286</v>
      </c>
      <c r="Q79" s="307"/>
      <c r="R79" s="307"/>
      <c r="S79" s="307" t="s">
        <v>286</v>
      </c>
      <c r="T79" s="307" t="s">
        <v>286</v>
      </c>
    </row>
    <row r="80" spans="1:20" s="283" customFormat="1" x14ac:dyDescent="0.25">
      <c r="A80" s="289" t="s">
        <v>861</v>
      </c>
      <c r="B80" s="268" t="s">
        <v>9</v>
      </c>
      <c r="C80" s="288" t="s">
        <v>748</v>
      </c>
      <c r="D80" s="305">
        <v>301.84480000000002</v>
      </c>
      <c r="E80" s="305">
        <v>299.38799999999998</v>
      </c>
      <c r="F80" s="305">
        <v>338.202</v>
      </c>
      <c r="G80" s="305">
        <v>327.37900000000002</v>
      </c>
      <c r="H80" s="307">
        <v>338.60300000000001</v>
      </c>
      <c r="I80" s="307">
        <v>370.57400000000001</v>
      </c>
      <c r="J80" s="307">
        <v>371.976</v>
      </c>
      <c r="K80" s="307">
        <v>391.589</v>
      </c>
      <c r="L80" s="307">
        <v>391.12400000000002</v>
      </c>
      <c r="M80" s="326">
        <v>408.54300000000001</v>
      </c>
      <c r="N80" s="307" t="s">
        <v>286</v>
      </c>
      <c r="O80" s="307">
        <f>M80*1.063</f>
        <v>434.28120899999999</v>
      </c>
      <c r="P80" s="307" t="s">
        <v>286</v>
      </c>
      <c r="Q80" s="326">
        <f t="shared" ref="Q80" si="24">O80*1.041</f>
        <v>452.08673856899998</v>
      </c>
      <c r="R80" s="326">
        <f t="shared" si="19"/>
        <v>470.62229485032896</v>
      </c>
      <c r="S80" s="326">
        <f>G80+I80+K80+O80+M80</f>
        <v>1932.3662089999998</v>
      </c>
      <c r="T80" s="307" t="s">
        <v>286</v>
      </c>
    </row>
    <row r="81" spans="1:20" s="283" customFormat="1" x14ac:dyDescent="0.25">
      <c r="A81" s="298" t="s">
        <v>26</v>
      </c>
      <c r="B81" s="299" t="s">
        <v>1153</v>
      </c>
      <c r="C81" s="300" t="s">
        <v>748</v>
      </c>
      <c r="D81" s="300">
        <v>133.78</v>
      </c>
      <c r="E81" s="303">
        <v>197.92</v>
      </c>
      <c r="F81" s="303">
        <v>157.24</v>
      </c>
      <c r="G81" s="308">
        <v>104.95078999999964</v>
      </c>
      <c r="H81" s="308">
        <v>129.31967999999983</v>
      </c>
      <c r="I81" s="308">
        <v>125.50876999999991</v>
      </c>
      <c r="J81" s="308">
        <f>J18-J33</f>
        <v>279.87400000000025</v>
      </c>
      <c r="K81" s="308">
        <f>K18-K33</f>
        <v>183.2189999999996</v>
      </c>
      <c r="L81" s="308">
        <f>L18-L33</f>
        <v>230.11999999999989</v>
      </c>
      <c r="M81" s="308">
        <f>M18-M33</f>
        <v>171.08183999999983</v>
      </c>
      <c r="N81" s="327"/>
      <c r="O81" s="308">
        <f>O18-O33</f>
        <v>285.40184735000048</v>
      </c>
      <c r="P81" s="327"/>
      <c r="Q81" s="308">
        <f t="shared" ref="Q81:R81" si="25">Q18-Q33</f>
        <v>232.13912309135048</v>
      </c>
      <c r="R81" s="308">
        <f t="shared" si="25"/>
        <v>241.36082713809537</v>
      </c>
      <c r="S81" s="327">
        <f t="shared" ref="S81" si="26">G81+I81+K81+O81+M81</f>
        <v>870.16224734999946</v>
      </c>
      <c r="T81" s="327"/>
    </row>
    <row r="82" spans="1:20" s="283" customFormat="1" x14ac:dyDescent="0.25">
      <c r="A82" s="289" t="s">
        <v>45</v>
      </c>
      <c r="B82" s="266" t="s">
        <v>1007</v>
      </c>
      <c r="C82" s="288" t="s">
        <v>748</v>
      </c>
      <c r="D82" s="307" t="s">
        <v>286</v>
      </c>
      <c r="E82" s="307" t="s">
        <v>286</v>
      </c>
      <c r="F82" s="307" t="s">
        <v>286</v>
      </c>
      <c r="G82" s="307" t="s">
        <v>286</v>
      </c>
      <c r="H82" s="307" t="s">
        <v>286</v>
      </c>
      <c r="I82" s="307" t="s">
        <v>286</v>
      </c>
      <c r="J82" s="307" t="s">
        <v>286</v>
      </c>
      <c r="K82" s="307" t="s">
        <v>286</v>
      </c>
      <c r="L82" s="307" t="s">
        <v>286</v>
      </c>
      <c r="M82" s="326" t="s">
        <v>286</v>
      </c>
      <c r="N82" s="326" t="s">
        <v>286</v>
      </c>
      <c r="O82" s="326" t="s">
        <v>286</v>
      </c>
      <c r="P82" s="326" t="s">
        <v>286</v>
      </c>
      <c r="Q82" s="326"/>
      <c r="R82" s="326"/>
      <c r="S82" s="326" t="s">
        <v>286</v>
      </c>
      <c r="T82" s="326" t="s">
        <v>286</v>
      </c>
    </row>
    <row r="83" spans="1:20" s="283" customFormat="1" ht="31.5" x14ac:dyDescent="0.25">
      <c r="A83" s="289" t="s">
        <v>830</v>
      </c>
      <c r="B83" s="136" t="s">
        <v>897</v>
      </c>
      <c r="C83" s="288" t="s">
        <v>748</v>
      </c>
      <c r="D83" s="305" t="s">
        <v>286</v>
      </c>
      <c r="E83" s="305" t="s">
        <v>286</v>
      </c>
      <c r="F83" s="305" t="s">
        <v>286</v>
      </c>
      <c r="G83" s="307" t="s">
        <v>286</v>
      </c>
      <c r="H83" s="307" t="s">
        <v>286</v>
      </c>
      <c r="I83" s="307" t="s">
        <v>286</v>
      </c>
      <c r="J83" s="307" t="s">
        <v>286</v>
      </c>
      <c r="K83" s="307" t="s">
        <v>286</v>
      </c>
      <c r="L83" s="307" t="s">
        <v>286</v>
      </c>
      <c r="M83" s="326" t="s">
        <v>286</v>
      </c>
      <c r="N83" s="326" t="s">
        <v>286</v>
      </c>
      <c r="O83" s="326" t="s">
        <v>286</v>
      </c>
      <c r="P83" s="326" t="s">
        <v>286</v>
      </c>
      <c r="Q83" s="326"/>
      <c r="R83" s="326"/>
      <c r="S83" s="326" t="s">
        <v>286</v>
      </c>
      <c r="T83" s="326" t="s">
        <v>286</v>
      </c>
    </row>
    <row r="84" spans="1:20" s="283" customFormat="1" ht="31.5" x14ac:dyDescent="0.25">
      <c r="A84" s="289" t="s">
        <v>831</v>
      </c>
      <c r="B84" s="136" t="s">
        <v>898</v>
      </c>
      <c r="C84" s="288" t="s">
        <v>748</v>
      </c>
      <c r="D84" s="305" t="s">
        <v>286</v>
      </c>
      <c r="E84" s="305" t="s">
        <v>286</v>
      </c>
      <c r="F84" s="305" t="s">
        <v>286</v>
      </c>
      <c r="G84" s="307" t="s">
        <v>286</v>
      </c>
      <c r="H84" s="307" t="s">
        <v>286</v>
      </c>
      <c r="I84" s="307" t="s">
        <v>286</v>
      </c>
      <c r="J84" s="307" t="s">
        <v>286</v>
      </c>
      <c r="K84" s="307" t="s">
        <v>286</v>
      </c>
      <c r="L84" s="307" t="s">
        <v>286</v>
      </c>
      <c r="M84" s="326" t="s">
        <v>286</v>
      </c>
      <c r="N84" s="326" t="s">
        <v>286</v>
      </c>
      <c r="O84" s="326" t="s">
        <v>286</v>
      </c>
      <c r="P84" s="326" t="s">
        <v>286</v>
      </c>
      <c r="Q84" s="326"/>
      <c r="R84" s="326"/>
      <c r="S84" s="326" t="s">
        <v>286</v>
      </c>
      <c r="T84" s="326" t="s">
        <v>286</v>
      </c>
    </row>
    <row r="85" spans="1:20" s="283" customFormat="1" ht="31.5" x14ac:dyDescent="0.25">
      <c r="A85" s="289" t="s">
        <v>832</v>
      </c>
      <c r="B85" s="136" t="s">
        <v>883</v>
      </c>
      <c r="C85" s="288" t="s">
        <v>748</v>
      </c>
      <c r="D85" s="305" t="s">
        <v>286</v>
      </c>
      <c r="E85" s="305" t="s">
        <v>286</v>
      </c>
      <c r="F85" s="305" t="s">
        <v>286</v>
      </c>
      <c r="G85" s="307" t="s">
        <v>286</v>
      </c>
      <c r="H85" s="307" t="s">
        <v>286</v>
      </c>
      <c r="I85" s="307" t="s">
        <v>286</v>
      </c>
      <c r="J85" s="307" t="s">
        <v>286</v>
      </c>
      <c r="K85" s="307" t="s">
        <v>286</v>
      </c>
      <c r="L85" s="307" t="s">
        <v>286</v>
      </c>
      <c r="M85" s="326" t="s">
        <v>286</v>
      </c>
      <c r="N85" s="326" t="s">
        <v>286</v>
      </c>
      <c r="O85" s="326" t="s">
        <v>286</v>
      </c>
      <c r="P85" s="326" t="s">
        <v>286</v>
      </c>
      <c r="Q85" s="326"/>
      <c r="R85" s="326"/>
      <c r="S85" s="326" t="s">
        <v>286</v>
      </c>
      <c r="T85" s="326" t="s">
        <v>286</v>
      </c>
    </row>
    <row r="86" spans="1:20" s="283" customFormat="1" x14ac:dyDescent="0.25">
      <c r="A86" s="289" t="s">
        <v>46</v>
      </c>
      <c r="B86" s="266" t="s">
        <v>1044</v>
      </c>
      <c r="C86" s="288" t="s">
        <v>748</v>
      </c>
      <c r="D86" s="305" t="s">
        <v>286</v>
      </c>
      <c r="E86" s="305" t="s">
        <v>286</v>
      </c>
      <c r="F86" s="305" t="s">
        <v>286</v>
      </c>
      <c r="G86" s="307" t="s">
        <v>286</v>
      </c>
      <c r="H86" s="307" t="s">
        <v>286</v>
      </c>
      <c r="I86" s="307" t="s">
        <v>286</v>
      </c>
      <c r="J86" s="307" t="s">
        <v>286</v>
      </c>
      <c r="K86" s="307" t="s">
        <v>286</v>
      </c>
      <c r="L86" s="307" t="s">
        <v>286</v>
      </c>
      <c r="M86" s="326" t="s">
        <v>286</v>
      </c>
      <c r="N86" s="326" t="s">
        <v>286</v>
      </c>
      <c r="O86" s="326" t="s">
        <v>286</v>
      </c>
      <c r="P86" s="326" t="s">
        <v>286</v>
      </c>
      <c r="Q86" s="326"/>
      <c r="R86" s="326"/>
      <c r="S86" s="326" t="s">
        <v>286</v>
      </c>
      <c r="T86" s="326" t="s">
        <v>286</v>
      </c>
    </row>
    <row r="87" spans="1:20" s="283" customFormat="1" x14ac:dyDescent="0.25">
      <c r="A87" s="289" t="s">
        <v>749</v>
      </c>
      <c r="B87" s="266" t="s">
        <v>937</v>
      </c>
      <c r="C87" s="288" t="s">
        <v>748</v>
      </c>
      <c r="D87" s="288">
        <v>48.62</v>
      </c>
      <c r="E87" s="305">
        <v>100</v>
      </c>
      <c r="F87" s="305">
        <v>28.16</v>
      </c>
      <c r="G87" s="307">
        <v>36.563999999999851</v>
      </c>
      <c r="H87" s="307">
        <v>31.974379999999883</v>
      </c>
      <c r="I87" s="307">
        <v>43.326669999999922</v>
      </c>
      <c r="J87" s="307">
        <f>J24-J39</f>
        <v>90.980000000000018</v>
      </c>
      <c r="K87" s="307">
        <f>K24-K39</f>
        <v>68.408999999999878</v>
      </c>
      <c r="L87" s="314">
        <v>112.47499999999991</v>
      </c>
      <c r="M87" s="307">
        <f>M24-M39</f>
        <v>86.071590000000015</v>
      </c>
      <c r="N87" s="326"/>
      <c r="O87" s="307">
        <f>O24-O39</f>
        <v>166.87400000000025</v>
      </c>
      <c r="P87" s="326" t="s">
        <v>286</v>
      </c>
      <c r="Q87" s="307">
        <f t="shared" ref="Q87:R87" si="27">Q24-Q39</f>
        <v>173.71583400000009</v>
      </c>
      <c r="R87" s="307">
        <f t="shared" si="27"/>
        <v>180.83818319400007</v>
      </c>
      <c r="S87" s="307">
        <f>S24-S39</f>
        <v>401.24526000000151</v>
      </c>
      <c r="T87" s="326"/>
    </row>
    <row r="88" spans="1:20" s="283" customFormat="1" x14ac:dyDescent="0.25">
      <c r="A88" s="289" t="s">
        <v>750</v>
      </c>
      <c r="B88" s="266" t="s">
        <v>1045</v>
      </c>
      <c r="C88" s="288" t="s">
        <v>748</v>
      </c>
      <c r="D88" s="305" t="s">
        <v>286</v>
      </c>
      <c r="E88" s="305" t="s">
        <v>286</v>
      </c>
      <c r="F88" s="305" t="s">
        <v>286</v>
      </c>
      <c r="G88" s="307"/>
      <c r="H88" s="307" t="s">
        <v>286</v>
      </c>
      <c r="I88" s="307" t="s">
        <v>286</v>
      </c>
      <c r="J88" s="307" t="s">
        <v>286</v>
      </c>
      <c r="K88" s="307" t="s">
        <v>286</v>
      </c>
      <c r="L88" s="307"/>
      <c r="M88" s="326" t="s">
        <v>286</v>
      </c>
      <c r="N88" s="326" t="s">
        <v>286</v>
      </c>
      <c r="O88" s="326" t="s">
        <v>286</v>
      </c>
      <c r="P88" s="326" t="s">
        <v>286</v>
      </c>
      <c r="Q88" s="326"/>
      <c r="R88" s="326"/>
      <c r="S88" s="326" t="s">
        <v>286</v>
      </c>
      <c r="T88" s="326" t="s">
        <v>286</v>
      </c>
    </row>
    <row r="89" spans="1:20" s="283" customFormat="1" x14ac:dyDescent="0.25">
      <c r="A89" s="289" t="s">
        <v>751</v>
      </c>
      <c r="B89" s="266" t="s">
        <v>938</v>
      </c>
      <c r="C89" s="288" t="s">
        <v>748</v>
      </c>
      <c r="D89" s="288">
        <v>6.47</v>
      </c>
      <c r="E89" s="305">
        <v>2.85</v>
      </c>
      <c r="F89" s="305">
        <v>20.81</v>
      </c>
      <c r="G89" s="307">
        <v>-6.3522099999999995</v>
      </c>
      <c r="H89" s="307">
        <v>-3.0841399999999979</v>
      </c>
      <c r="I89" s="307">
        <v>-11.604330000000001</v>
      </c>
      <c r="J89" s="307">
        <f>J26-J41</f>
        <v>69.396000000000015</v>
      </c>
      <c r="K89" s="307">
        <f>K26-K41</f>
        <v>38.467999999999996</v>
      </c>
      <c r="L89" s="314">
        <v>72.588000000000008</v>
      </c>
      <c r="M89" s="307">
        <f>M26-M41</f>
        <v>45.287710000000004</v>
      </c>
      <c r="N89" s="326"/>
      <c r="O89" s="307">
        <f>O26-O41</f>
        <v>63.143235730000008</v>
      </c>
      <c r="P89" s="326" t="s">
        <v>286</v>
      </c>
      <c r="Q89" s="307">
        <f t="shared" ref="Q89:R89" si="28">Q26-Q41</f>
        <v>0.76790839493001073</v>
      </c>
      <c r="R89" s="307">
        <f t="shared" si="28"/>
        <v>0.50339263912214705</v>
      </c>
      <c r="S89" s="307">
        <f>S26-S41</f>
        <v>128.94240572999996</v>
      </c>
      <c r="T89" s="326" t="s">
        <v>286</v>
      </c>
    </row>
    <row r="90" spans="1:20" s="283" customFormat="1" x14ac:dyDescent="0.25">
      <c r="A90" s="289" t="s">
        <v>752</v>
      </c>
      <c r="B90" s="266" t="s">
        <v>939</v>
      </c>
      <c r="C90" s="288" t="s">
        <v>748</v>
      </c>
      <c r="D90" s="305" t="s">
        <v>286</v>
      </c>
      <c r="E90" s="305" t="s">
        <v>286</v>
      </c>
      <c r="F90" s="305" t="s">
        <v>286</v>
      </c>
      <c r="G90" s="305" t="s">
        <v>286</v>
      </c>
      <c r="H90" s="307" t="s">
        <v>286</v>
      </c>
      <c r="I90" s="307" t="s">
        <v>286</v>
      </c>
      <c r="J90" s="307" t="s">
        <v>286</v>
      </c>
      <c r="K90" s="307" t="s">
        <v>286</v>
      </c>
      <c r="L90" s="307"/>
      <c r="M90" s="326" t="s">
        <v>286</v>
      </c>
      <c r="N90" s="326" t="s">
        <v>286</v>
      </c>
      <c r="O90" s="326" t="s">
        <v>286</v>
      </c>
      <c r="P90" s="326" t="s">
        <v>286</v>
      </c>
      <c r="Q90" s="326"/>
      <c r="R90" s="326"/>
      <c r="S90" s="326" t="s">
        <v>286</v>
      </c>
      <c r="T90" s="326" t="s">
        <v>286</v>
      </c>
    </row>
    <row r="91" spans="1:20" s="283" customFormat="1" x14ac:dyDescent="0.25">
      <c r="A91" s="289" t="s">
        <v>753</v>
      </c>
      <c r="B91" s="266" t="s">
        <v>1052</v>
      </c>
      <c r="C91" s="288" t="s">
        <v>748</v>
      </c>
      <c r="D91" s="305" t="s">
        <v>286</v>
      </c>
      <c r="E91" s="305" t="s">
        <v>286</v>
      </c>
      <c r="F91" s="305" t="s">
        <v>286</v>
      </c>
      <c r="G91" s="305" t="s">
        <v>286</v>
      </c>
      <c r="H91" s="307" t="s">
        <v>286</v>
      </c>
      <c r="I91" s="307" t="s">
        <v>286</v>
      </c>
      <c r="J91" s="307" t="s">
        <v>286</v>
      </c>
      <c r="K91" s="307" t="s">
        <v>286</v>
      </c>
      <c r="L91" s="307"/>
      <c r="M91" s="326" t="s">
        <v>286</v>
      </c>
      <c r="N91" s="326" t="s">
        <v>286</v>
      </c>
      <c r="O91" s="326" t="s">
        <v>286</v>
      </c>
      <c r="P91" s="326" t="s">
        <v>286</v>
      </c>
      <c r="Q91" s="326"/>
      <c r="R91" s="326"/>
      <c r="S91" s="326" t="s">
        <v>286</v>
      </c>
      <c r="T91" s="326" t="s">
        <v>286</v>
      </c>
    </row>
    <row r="92" spans="1:20" s="283" customFormat="1" ht="31.5" x14ac:dyDescent="0.25">
      <c r="A92" s="289" t="s">
        <v>754</v>
      </c>
      <c r="B92" s="267" t="s">
        <v>817</v>
      </c>
      <c r="C92" s="288" t="s">
        <v>748</v>
      </c>
      <c r="D92" s="305" t="s">
        <v>286</v>
      </c>
      <c r="E92" s="305" t="s">
        <v>286</v>
      </c>
      <c r="F92" s="305" t="s">
        <v>286</v>
      </c>
      <c r="G92" s="305" t="s">
        <v>286</v>
      </c>
      <c r="H92" s="307" t="s">
        <v>286</v>
      </c>
      <c r="I92" s="307" t="s">
        <v>286</v>
      </c>
      <c r="J92" s="307" t="s">
        <v>286</v>
      </c>
      <c r="K92" s="307" t="s">
        <v>286</v>
      </c>
      <c r="L92" s="307"/>
      <c r="M92" s="326" t="s">
        <v>286</v>
      </c>
      <c r="N92" s="326" t="s">
        <v>286</v>
      </c>
      <c r="O92" s="326" t="s">
        <v>286</v>
      </c>
      <c r="P92" s="326" t="s">
        <v>286</v>
      </c>
      <c r="Q92" s="326"/>
      <c r="R92" s="326"/>
      <c r="S92" s="326" t="s">
        <v>286</v>
      </c>
      <c r="T92" s="326" t="s">
        <v>286</v>
      </c>
    </row>
    <row r="93" spans="1:20" s="283" customFormat="1" x14ac:dyDescent="0.25">
      <c r="A93" s="289" t="s">
        <v>978</v>
      </c>
      <c r="B93" s="136" t="s">
        <v>643</v>
      </c>
      <c r="C93" s="288" t="s">
        <v>748</v>
      </c>
      <c r="D93" s="305" t="s">
        <v>286</v>
      </c>
      <c r="E93" s="305" t="s">
        <v>286</v>
      </c>
      <c r="F93" s="305" t="s">
        <v>286</v>
      </c>
      <c r="G93" s="305" t="s">
        <v>286</v>
      </c>
      <c r="H93" s="307" t="s">
        <v>286</v>
      </c>
      <c r="I93" s="307" t="s">
        <v>286</v>
      </c>
      <c r="J93" s="307" t="s">
        <v>286</v>
      </c>
      <c r="K93" s="307" t="s">
        <v>286</v>
      </c>
      <c r="L93" s="307"/>
      <c r="M93" s="326" t="s">
        <v>286</v>
      </c>
      <c r="N93" s="326" t="s">
        <v>286</v>
      </c>
      <c r="O93" s="326" t="s">
        <v>286</v>
      </c>
      <c r="P93" s="326" t="s">
        <v>286</v>
      </c>
      <c r="Q93" s="326"/>
      <c r="R93" s="326"/>
      <c r="S93" s="326" t="s">
        <v>286</v>
      </c>
      <c r="T93" s="326" t="s">
        <v>286</v>
      </c>
    </row>
    <row r="94" spans="1:20" s="283" customFormat="1" x14ac:dyDescent="0.25">
      <c r="A94" s="289" t="s">
        <v>979</v>
      </c>
      <c r="B94" s="268" t="s">
        <v>631</v>
      </c>
      <c r="C94" s="288" t="s">
        <v>748</v>
      </c>
      <c r="D94" s="305" t="s">
        <v>286</v>
      </c>
      <c r="E94" s="305" t="s">
        <v>286</v>
      </c>
      <c r="F94" s="305" t="s">
        <v>286</v>
      </c>
      <c r="G94" s="305" t="s">
        <v>286</v>
      </c>
      <c r="H94" s="307" t="s">
        <v>286</v>
      </c>
      <c r="I94" s="307" t="s">
        <v>286</v>
      </c>
      <c r="J94" s="307" t="s">
        <v>286</v>
      </c>
      <c r="K94" s="307" t="s">
        <v>286</v>
      </c>
      <c r="L94" s="307"/>
      <c r="M94" s="326" t="s">
        <v>286</v>
      </c>
      <c r="N94" s="326" t="s">
        <v>286</v>
      </c>
      <c r="O94" s="326" t="s">
        <v>286</v>
      </c>
      <c r="P94" s="326" t="s">
        <v>286</v>
      </c>
      <c r="Q94" s="326"/>
      <c r="R94" s="326"/>
      <c r="S94" s="326" t="s">
        <v>286</v>
      </c>
      <c r="T94" s="326" t="s">
        <v>286</v>
      </c>
    </row>
    <row r="95" spans="1:20" s="283" customFormat="1" x14ac:dyDescent="0.25">
      <c r="A95" s="289" t="s">
        <v>755</v>
      </c>
      <c r="B95" s="266" t="s">
        <v>940</v>
      </c>
      <c r="C95" s="288" t="s">
        <v>748</v>
      </c>
      <c r="D95" s="288">
        <v>78.69</v>
      </c>
      <c r="E95" s="305">
        <v>95.07</v>
      </c>
      <c r="F95" s="305">
        <v>108.26</v>
      </c>
      <c r="G95" s="307">
        <v>74.739000000000004</v>
      </c>
      <c r="H95" s="307">
        <v>100.42944</v>
      </c>
      <c r="I95" s="307">
        <v>93.786429999999996</v>
      </c>
      <c r="J95" s="307">
        <f>J32-J47</f>
        <v>119.49799999999999</v>
      </c>
      <c r="K95" s="307">
        <f>K32-K47</f>
        <v>76.342000000000013</v>
      </c>
      <c r="L95" s="307">
        <v>45.056999999999988</v>
      </c>
      <c r="M95" s="307">
        <f>M32-M47</f>
        <v>39.722539999999981</v>
      </c>
      <c r="N95" s="326" t="s">
        <v>286</v>
      </c>
      <c r="O95" s="307">
        <f>O32-O47</f>
        <v>55.384611619999987</v>
      </c>
      <c r="P95" s="326" t="s">
        <v>286</v>
      </c>
      <c r="Q95" s="307">
        <f t="shared" ref="Q95:R95" si="29">Q32-Q47</f>
        <v>57.655380696420025</v>
      </c>
      <c r="R95" s="307">
        <f t="shared" si="29"/>
        <v>60.019251304973238</v>
      </c>
      <c r="S95" s="307">
        <f>S32-S47</f>
        <v>339.97458162000021</v>
      </c>
      <c r="T95" s="326" t="s">
        <v>286</v>
      </c>
    </row>
    <row r="96" spans="1:20" s="283" customFormat="1" x14ac:dyDescent="0.25">
      <c r="A96" s="298" t="s">
        <v>27</v>
      </c>
      <c r="B96" s="299" t="s">
        <v>1154</v>
      </c>
      <c r="C96" s="300" t="s">
        <v>748</v>
      </c>
      <c r="D96" s="300">
        <v>-72.94</v>
      </c>
      <c r="E96" s="303">
        <v>-138.94</v>
      </c>
      <c r="F96" s="303">
        <v>-13.4</v>
      </c>
      <c r="G96" s="308">
        <v>-43.789000000000001</v>
      </c>
      <c r="H96" s="308">
        <v>38.751229999999993</v>
      </c>
      <c r="I96" s="308">
        <v>-60.595000000000006</v>
      </c>
      <c r="J96" s="308">
        <f>J97-J105</f>
        <v>-46.976900000000008</v>
      </c>
      <c r="K96" s="308">
        <f>K97-K105</f>
        <v>-102.11000000000001</v>
      </c>
      <c r="L96" s="308">
        <f>L97-L105</f>
        <v>-18.081829999999982</v>
      </c>
      <c r="M96" s="308">
        <f>M97-M105</f>
        <v>-104.69109</v>
      </c>
      <c r="N96" s="327"/>
      <c r="O96" s="308">
        <f>O97-O105</f>
        <v>-81.210124800000017</v>
      </c>
      <c r="P96" s="327"/>
      <c r="Q96" s="308">
        <f t="shared" ref="Q96:R96" si="30">Q97-Q105</f>
        <v>-84.539739916800002</v>
      </c>
      <c r="R96" s="308">
        <f t="shared" si="30"/>
        <v>-88.005869253388795</v>
      </c>
      <c r="S96" s="327">
        <f>G96+I96+K96+O96+M96</f>
        <v>-392.39521480000008</v>
      </c>
      <c r="T96" s="327"/>
    </row>
    <row r="97" spans="1:20" s="283" customFormat="1" x14ac:dyDescent="0.25">
      <c r="A97" s="289" t="s">
        <v>52</v>
      </c>
      <c r="B97" s="267" t="s">
        <v>1013</v>
      </c>
      <c r="C97" s="288" t="s">
        <v>748</v>
      </c>
      <c r="D97" s="288">
        <v>28.909999999999997</v>
      </c>
      <c r="E97" s="305">
        <v>18.829999999999998</v>
      </c>
      <c r="F97" s="305">
        <v>221.46</v>
      </c>
      <c r="G97" s="307">
        <v>5.1230000000000002</v>
      </c>
      <c r="H97" s="307">
        <v>125.1514</v>
      </c>
      <c r="I97" s="307">
        <v>5.6620000000000008</v>
      </c>
      <c r="J97" s="307">
        <v>39.078899999999997</v>
      </c>
      <c r="K97" s="314">
        <v>5.82</v>
      </c>
      <c r="L97" s="307">
        <v>75.896210000000011</v>
      </c>
      <c r="M97" s="326">
        <v>8.9178800000000003</v>
      </c>
      <c r="N97" s="307" t="s">
        <v>286</v>
      </c>
      <c r="O97" s="326">
        <f>M97*1.04</f>
        <v>9.2745952000000003</v>
      </c>
      <c r="P97" s="307" t="s">
        <v>286</v>
      </c>
      <c r="Q97" s="326">
        <f t="shared" ref="Q97" si="31">O97*1.041</f>
        <v>9.6548536031999994</v>
      </c>
      <c r="R97" s="326">
        <f t="shared" ref="R97" si="32">Q97*1.041</f>
        <v>10.050702600931199</v>
      </c>
      <c r="S97" s="326">
        <f t="shared" ref="S96:S97" si="33">G97+I97+K97+O97+M97</f>
        <v>34.797475200000001</v>
      </c>
      <c r="T97" s="307" t="s">
        <v>286</v>
      </c>
    </row>
    <row r="98" spans="1:20" s="283" customFormat="1" x14ac:dyDescent="0.25">
      <c r="A98" s="289" t="s">
        <v>53</v>
      </c>
      <c r="B98" s="136" t="s">
        <v>931</v>
      </c>
      <c r="C98" s="288" t="s">
        <v>748</v>
      </c>
      <c r="D98" s="305" t="s">
        <v>286</v>
      </c>
      <c r="E98" s="305" t="s">
        <v>286</v>
      </c>
      <c r="F98" s="305" t="s">
        <v>286</v>
      </c>
      <c r="G98" s="307" t="s">
        <v>286</v>
      </c>
      <c r="H98" s="307" t="s">
        <v>286</v>
      </c>
      <c r="I98" s="307" t="s">
        <v>286</v>
      </c>
      <c r="J98" s="307" t="s">
        <v>286</v>
      </c>
      <c r="K98" s="307" t="s">
        <v>286</v>
      </c>
      <c r="L98" s="307"/>
      <c r="M98" s="326" t="s">
        <v>286</v>
      </c>
      <c r="N98" s="326" t="s">
        <v>286</v>
      </c>
      <c r="O98" s="326" t="s">
        <v>286</v>
      </c>
      <c r="P98" s="326" t="s">
        <v>286</v>
      </c>
      <c r="Q98" s="326"/>
      <c r="R98" s="326"/>
      <c r="S98" s="307" t="s">
        <v>286</v>
      </c>
      <c r="T98" s="307" t="s">
        <v>286</v>
      </c>
    </row>
    <row r="99" spans="1:20" s="283" customFormat="1" x14ac:dyDescent="0.25">
      <c r="A99" s="289" t="s">
        <v>54</v>
      </c>
      <c r="B99" s="136" t="s">
        <v>932</v>
      </c>
      <c r="C99" s="288" t="s">
        <v>748</v>
      </c>
      <c r="D99" s="288">
        <v>4.42</v>
      </c>
      <c r="E99" s="305">
        <v>2.38</v>
      </c>
      <c r="F99" s="305">
        <v>2.27</v>
      </c>
      <c r="G99" s="307">
        <v>2.04</v>
      </c>
      <c r="H99" s="307">
        <v>5.5624200000000004</v>
      </c>
      <c r="I99" s="307">
        <v>2.4460000000000002</v>
      </c>
      <c r="J99" s="307">
        <v>3.9579</v>
      </c>
      <c r="K99" s="314">
        <v>2.75</v>
      </c>
      <c r="L99" s="307">
        <v>8.7479599999999991</v>
      </c>
      <c r="M99" s="326">
        <v>5.1847000000000003</v>
      </c>
      <c r="N99" s="326" t="s">
        <v>286</v>
      </c>
      <c r="O99" s="326">
        <f>M99*1.04</f>
        <v>5.3920880000000002</v>
      </c>
      <c r="P99" s="326" t="s">
        <v>286</v>
      </c>
      <c r="Q99" s="326">
        <f t="shared" ref="Q99" si="34">O99*1.041</f>
        <v>5.6131636079999998</v>
      </c>
      <c r="R99" s="326">
        <f t="shared" ref="R99" si="35">Q99*1.041</f>
        <v>5.843303315927999</v>
      </c>
      <c r="S99" s="326">
        <f t="shared" ref="S99" si="36">G99+I99+K99+O99+M99</f>
        <v>17.812788000000001</v>
      </c>
      <c r="T99" s="307" t="s">
        <v>286</v>
      </c>
    </row>
    <row r="100" spans="1:20" s="283" customFormat="1" x14ac:dyDescent="0.25">
      <c r="A100" s="289" t="s">
        <v>69</v>
      </c>
      <c r="B100" s="136" t="s">
        <v>1014</v>
      </c>
      <c r="C100" s="288" t="s">
        <v>748</v>
      </c>
      <c r="D100" s="315">
        <v>10.7</v>
      </c>
      <c r="E100" s="305" t="s">
        <v>286</v>
      </c>
      <c r="F100" s="305" t="s">
        <v>286</v>
      </c>
      <c r="G100" s="307" t="s">
        <v>286</v>
      </c>
      <c r="H100" s="307" t="s">
        <v>286</v>
      </c>
      <c r="I100" s="307" t="s">
        <v>286</v>
      </c>
      <c r="J100" s="307" t="s">
        <v>286</v>
      </c>
      <c r="K100" s="307" t="s">
        <v>286</v>
      </c>
      <c r="L100" s="307" t="s">
        <v>286</v>
      </c>
      <c r="M100" s="326" t="s">
        <v>286</v>
      </c>
      <c r="N100" s="326" t="s">
        <v>286</v>
      </c>
      <c r="O100" s="326" t="s">
        <v>286</v>
      </c>
      <c r="P100" s="326" t="s">
        <v>286</v>
      </c>
      <c r="Q100" s="326"/>
      <c r="R100" s="326"/>
      <c r="S100" s="307" t="s">
        <v>286</v>
      </c>
      <c r="T100" s="307" t="s">
        <v>286</v>
      </c>
    </row>
    <row r="101" spans="1:20" s="283" customFormat="1" x14ac:dyDescent="0.25">
      <c r="A101" s="289" t="s">
        <v>525</v>
      </c>
      <c r="B101" s="270" t="s">
        <v>646</v>
      </c>
      <c r="C101" s="288" t="s">
        <v>748</v>
      </c>
      <c r="D101" s="315">
        <v>10.7</v>
      </c>
      <c r="E101" s="305" t="s">
        <v>286</v>
      </c>
      <c r="F101" s="305" t="s">
        <v>286</v>
      </c>
      <c r="G101" s="307" t="s">
        <v>286</v>
      </c>
      <c r="H101" s="307" t="s">
        <v>286</v>
      </c>
      <c r="I101" s="307" t="s">
        <v>286</v>
      </c>
      <c r="J101" s="307" t="s">
        <v>286</v>
      </c>
      <c r="K101" s="307" t="s">
        <v>286</v>
      </c>
      <c r="L101" s="307" t="s">
        <v>286</v>
      </c>
      <c r="M101" s="326" t="s">
        <v>286</v>
      </c>
      <c r="N101" s="326" t="s">
        <v>286</v>
      </c>
      <c r="O101" s="326" t="s">
        <v>286</v>
      </c>
      <c r="P101" s="326" t="s">
        <v>286</v>
      </c>
      <c r="Q101" s="326"/>
      <c r="R101" s="326"/>
      <c r="S101" s="307" t="s">
        <v>286</v>
      </c>
      <c r="T101" s="307" t="s">
        <v>286</v>
      </c>
    </row>
    <row r="102" spans="1:20" s="283" customFormat="1" x14ac:dyDescent="0.25">
      <c r="A102" s="289" t="s">
        <v>70</v>
      </c>
      <c r="B102" s="268" t="s">
        <v>933</v>
      </c>
      <c r="C102" s="288" t="s">
        <v>748</v>
      </c>
      <c r="D102" s="315">
        <v>13.79</v>
      </c>
      <c r="E102" s="317">
        <v>16.45</v>
      </c>
      <c r="F102" s="317">
        <v>219.19</v>
      </c>
      <c r="G102" s="318">
        <v>3.0830000000000002</v>
      </c>
      <c r="H102" s="310">
        <f>125.1514-H99</f>
        <v>119.58897999999999</v>
      </c>
      <c r="I102" s="307">
        <v>3.22</v>
      </c>
      <c r="J102" s="307">
        <v>35.120999999999995</v>
      </c>
      <c r="K102" s="314">
        <f>K97-K99</f>
        <v>3.0700000000000003</v>
      </c>
      <c r="L102" s="307">
        <v>67.148250000000019</v>
      </c>
      <c r="M102" s="307">
        <f>M97-M99</f>
        <v>3.7331799999999999</v>
      </c>
      <c r="N102" s="326" t="s">
        <v>286</v>
      </c>
      <c r="O102" s="307">
        <f>O97-O99</f>
        <v>3.8825072</v>
      </c>
      <c r="P102" s="326" t="s">
        <v>286</v>
      </c>
      <c r="Q102" s="326">
        <f t="shared" ref="Q102" si="37">O102*1.041</f>
        <v>4.0416899951999996</v>
      </c>
      <c r="R102" s="326">
        <f t="shared" ref="R102" si="38">Q102*1.041</f>
        <v>4.2073992850031994</v>
      </c>
      <c r="S102" s="326">
        <f t="shared" ref="S102" si="39">G102+I102+K102+O102+M102</f>
        <v>16.988687200000001</v>
      </c>
      <c r="T102" s="307" t="s">
        <v>286</v>
      </c>
    </row>
    <row r="103" spans="1:20" s="285" customFormat="1" x14ac:dyDescent="0.25">
      <c r="A103" s="289" t="s">
        <v>1097</v>
      </c>
      <c r="B103" s="136" t="s">
        <v>1096</v>
      </c>
      <c r="C103" s="288" t="s">
        <v>748</v>
      </c>
      <c r="D103" s="305" t="s">
        <v>286</v>
      </c>
      <c r="E103" s="305" t="s">
        <v>286</v>
      </c>
      <c r="F103" s="305" t="s">
        <v>286</v>
      </c>
      <c r="G103" s="307" t="s">
        <v>286</v>
      </c>
      <c r="H103" s="307" t="s">
        <v>286</v>
      </c>
      <c r="I103" s="307" t="s">
        <v>286</v>
      </c>
      <c r="J103" s="307" t="s">
        <v>286</v>
      </c>
      <c r="K103" s="307" t="s">
        <v>286</v>
      </c>
      <c r="L103" s="307" t="s">
        <v>286</v>
      </c>
      <c r="M103" s="326" t="s">
        <v>286</v>
      </c>
      <c r="N103" s="326" t="s">
        <v>286</v>
      </c>
      <c r="O103" s="326" t="s">
        <v>286</v>
      </c>
      <c r="P103" s="326" t="s">
        <v>286</v>
      </c>
      <c r="Q103" s="326"/>
      <c r="R103" s="326"/>
      <c r="S103" s="307" t="s">
        <v>286</v>
      </c>
      <c r="T103" s="307" t="s">
        <v>286</v>
      </c>
    </row>
    <row r="104" spans="1:20" s="285" customFormat="1" x14ac:dyDescent="0.25">
      <c r="A104" s="289" t="s">
        <v>1117</v>
      </c>
      <c r="B104" s="136" t="s">
        <v>1098</v>
      </c>
      <c r="C104" s="288" t="s">
        <v>748</v>
      </c>
      <c r="D104" s="305" t="s">
        <v>286</v>
      </c>
      <c r="E104" s="305" t="s">
        <v>286</v>
      </c>
      <c r="F104" s="305" t="s">
        <v>286</v>
      </c>
      <c r="G104" s="307" t="s">
        <v>286</v>
      </c>
      <c r="H104" s="307" t="s">
        <v>286</v>
      </c>
      <c r="I104" s="307" t="s">
        <v>286</v>
      </c>
      <c r="J104" s="307" t="s">
        <v>286</v>
      </c>
      <c r="K104" s="307" t="s">
        <v>286</v>
      </c>
      <c r="L104" s="307" t="s">
        <v>286</v>
      </c>
      <c r="M104" s="326" t="s">
        <v>286</v>
      </c>
      <c r="N104" s="326" t="s">
        <v>286</v>
      </c>
      <c r="O104" s="326" t="s">
        <v>286</v>
      </c>
      <c r="P104" s="326" t="s">
        <v>286</v>
      </c>
      <c r="Q104" s="326"/>
      <c r="R104" s="326"/>
      <c r="S104" s="307" t="s">
        <v>286</v>
      </c>
      <c r="T104" s="307" t="s">
        <v>286</v>
      </c>
    </row>
    <row r="105" spans="1:20" s="283" customFormat="1" x14ac:dyDescent="0.25">
      <c r="A105" s="289" t="s">
        <v>55</v>
      </c>
      <c r="B105" s="269" t="s">
        <v>1012</v>
      </c>
      <c r="C105" s="288" t="s">
        <v>748</v>
      </c>
      <c r="D105" s="288">
        <v>101.85</v>
      </c>
      <c r="E105" s="305">
        <v>157.78</v>
      </c>
      <c r="F105" s="305">
        <v>234.86</v>
      </c>
      <c r="G105" s="307">
        <v>48.911999999999999</v>
      </c>
      <c r="H105" s="307">
        <v>86.400170000000003</v>
      </c>
      <c r="I105" s="307">
        <v>66.257000000000005</v>
      </c>
      <c r="J105" s="307">
        <v>86.055800000000005</v>
      </c>
      <c r="K105" s="314">
        <v>107.93</v>
      </c>
      <c r="L105" s="307">
        <v>93.978039999999993</v>
      </c>
      <c r="M105" s="326">
        <f>M106+M107+M112</f>
        <v>113.60897</v>
      </c>
      <c r="N105" s="326" t="s">
        <v>286</v>
      </c>
      <c r="O105" s="326">
        <f>O106+O107+O112</f>
        <v>90.48472000000001</v>
      </c>
      <c r="P105" s="326" t="s">
        <v>286</v>
      </c>
      <c r="Q105" s="326">
        <f t="shared" ref="Q105:Q106" si="40">O105*1.041</f>
        <v>94.194593519999998</v>
      </c>
      <c r="R105" s="326">
        <f t="shared" ref="R105:R106" si="41">Q105*1.041</f>
        <v>98.056571854319998</v>
      </c>
      <c r="S105" s="326">
        <f t="shared" ref="S105:S107" si="42">G105+I105+K105+O105+M105</f>
        <v>427.19269000000003</v>
      </c>
      <c r="T105" s="307" t="s">
        <v>286</v>
      </c>
    </row>
    <row r="106" spans="1:20" s="283" customFormat="1" x14ac:dyDescent="0.25">
      <c r="A106" s="289" t="s">
        <v>526</v>
      </c>
      <c r="B106" s="268" t="s">
        <v>934</v>
      </c>
      <c r="C106" s="288" t="s">
        <v>748</v>
      </c>
      <c r="D106" s="288">
        <v>2.39</v>
      </c>
      <c r="E106" s="305">
        <v>2.2000000000000002</v>
      </c>
      <c r="F106" s="305">
        <v>3.41</v>
      </c>
      <c r="G106" s="307">
        <v>3.0350000000000001</v>
      </c>
      <c r="H106" s="307">
        <v>3.66886</v>
      </c>
      <c r="I106" s="307">
        <v>3.16</v>
      </c>
      <c r="J106" s="307">
        <v>3.3039999999999998</v>
      </c>
      <c r="K106" s="307">
        <v>4</v>
      </c>
      <c r="L106" s="307">
        <v>6.9121800000000002</v>
      </c>
      <c r="M106" s="326">
        <v>5.2</v>
      </c>
      <c r="N106" s="326" t="s">
        <v>286</v>
      </c>
      <c r="O106" s="326">
        <f>M106*1.04</f>
        <v>5.4080000000000004</v>
      </c>
      <c r="P106" s="326" t="s">
        <v>286</v>
      </c>
      <c r="Q106" s="326">
        <f t="shared" si="40"/>
        <v>5.6297280000000001</v>
      </c>
      <c r="R106" s="326">
        <f t="shared" si="41"/>
        <v>5.8605468479999994</v>
      </c>
      <c r="S106" s="326">
        <f t="shared" si="42"/>
        <v>20.803000000000001</v>
      </c>
      <c r="T106" s="307" t="s">
        <v>286</v>
      </c>
    </row>
    <row r="107" spans="1:20" s="283" customFormat="1" x14ac:dyDescent="0.25">
      <c r="A107" s="289" t="s">
        <v>527</v>
      </c>
      <c r="B107" s="268" t="s">
        <v>935</v>
      </c>
      <c r="C107" s="288" t="s">
        <v>748</v>
      </c>
      <c r="D107" s="288">
        <v>22.72</v>
      </c>
      <c r="E107" s="305">
        <v>22.33</v>
      </c>
      <c r="F107" s="305">
        <v>17.11</v>
      </c>
      <c r="G107" s="307">
        <v>25.876999999999999</v>
      </c>
      <c r="H107" s="307">
        <v>31.2623</v>
      </c>
      <c r="I107" s="307">
        <v>24.109000000000002</v>
      </c>
      <c r="J107" s="307">
        <v>32.384999999999998</v>
      </c>
      <c r="K107" s="307">
        <f>45.94+K108</f>
        <v>47.61</v>
      </c>
      <c r="L107" s="307">
        <f>48.47345+L108</f>
        <v>50.143419999999999</v>
      </c>
      <c r="M107" s="326">
        <v>76.235969999999995</v>
      </c>
      <c r="N107" s="326" t="s">
        <v>286</v>
      </c>
      <c r="O107" s="326">
        <f>50.2+O108</f>
        <v>51.616800000000005</v>
      </c>
      <c r="P107" s="326" t="s">
        <v>286</v>
      </c>
      <c r="Q107" s="326">
        <f>50.2+Q108</f>
        <v>51.503456</v>
      </c>
      <c r="R107" s="326">
        <f>50.2+R108</f>
        <v>51.399179520000004</v>
      </c>
      <c r="S107" s="326">
        <f t="shared" si="42"/>
        <v>225.44877000000002</v>
      </c>
      <c r="T107" s="307" t="s">
        <v>286</v>
      </c>
    </row>
    <row r="108" spans="1:20" s="285" customFormat="1" x14ac:dyDescent="0.25">
      <c r="A108" s="289" t="s">
        <v>1099</v>
      </c>
      <c r="B108" s="270" t="s">
        <v>1126</v>
      </c>
      <c r="C108" s="288" t="s">
        <v>748</v>
      </c>
      <c r="D108" s="307" t="s">
        <v>286</v>
      </c>
      <c r="E108" s="307" t="s">
        <v>286</v>
      </c>
      <c r="F108" s="307" t="s">
        <v>286</v>
      </c>
      <c r="G108" s="307" t="s">
        <v>286</v>
      </c>
      <c r="H108" s="307" t="s">
        <v>286</v>
      </c>
      <c r="I108" s="307" t="s">
        <v>286</v>
      </c>
      <c r="J108" s="307" t="s">
        <v>286</v>
      </c>
      <c r="K108" s="307">
        <v>1.67</v>
      </c>
      <c r="L108" s="307">
        <v>1.66997</v>
      </c>
      <c r="M108" s="326">
        <v>1.54</v>
      </c>
      <c r="N108" s="326" t="s">
        <v>286</v>
      </c>
      <c r="O108" s="326">
        <f>M108*0.92</f>
        <v>1.4168000000000001</v>
      </c>
      <c r="P108" s="326" t="s">
        <v>286</v>
      </c>
      <c r="Q108" s="326">
        <f>O108*0.92</f>
        <v>1.3034560000000002</v>
      </c>
      <c r="R108" s="326">
        <f>Q108*0.92</f>
        <v>1.1991795200000002</v>
      </c>
      <c r="S108" s="326">
        <f>K108+O108+M108</f>
        <v>4.6268000000000002</v>
      </c>
      <c r="T108" s="307" t="s">
        <v>286</v>
      </c>
    </row>
    <row r="109" spans="1:20" s="283" customFormat="1" x14ac:dyDescent="0.25">
      <c r="A109" s="289" t="s">
        <v>528</v>
      </c>
      <c r="B109" s="268" t="s">
        <v>1015</v>
      </c>
      <c r="C109" s="288" t="s">
        <v>748</v>
      </c>
      <c r="D109" s="305" t="s">
        <v>286</v>
      </c>
      <c r="E109" s="305" t="s">
        <v>286</v>
      </c>
      <c r="F109" s="305" t="s">
        <v>286</v>
      </c>
      <c r="G109" s="307" t="s">
        <v>286</v>
      </c>
      <c r="H109" s="307" t="s">
        <v>286</v>
      </c>
      <c r="I109" s="307" t="s">
        <v>286</v>
      </c>
      <c r="J109" s="307" t="s">
        <v>286</v>
      </c>
      <c r="K109" s="307" t="s">
        <v>286</v>
      </c>
      <c r="L109" s="307"/>
      <c r="M109" s="326" t="s">
        <v>286</v>
      </c>
      <c r="N109" s="326" t="s">
        <v>286</v>
      </c>
      <c r="O109" s="326" t="s">
        <v>286</v>
      </c>
      <c r="P109" s="326" t="s">
        <v>286</v>
      </c>
      <c r="Q109" s="326"/>
      <c r="R109" s="326"/>
      <c r="S109" s="326" t="s">
        <v>286</v>
      </c>
      <c r="T109" s="307" t="s">
        <v>286</v>
      </c>
    </row>
    <row r="110" spans="1:20" s="283" customFormat="1" x14ac:dyDescent="0.25">
      <c r="A110" s="289" t="s">
        <v>529</v>
      </c>
      <c r="B110" s="270" t="s">
        <v>647</v>
      </c>
      <c r="C110" s="288" t="s">
        <v>748</v>
      </c>
      <c r="D110" s="305" t="s">
        <v>286</v>
      </c>
      <c r="E110" s="305" t="s">
        <v>286</v>
      </c>
      <c r="F110" s="305" t="s">
        <v>286</v>
      </c>
      <c r="G110" s="307" t="s">
        <v>286</v>
      </c>
      <c r="H110" s="307" t="s">
        <v>286</v>
      </c>
      <c r="I110" s="307" t="s">
        <v>286</v>
      </c>
      <c r="J110" s="307" t="s">
        <v>286</v>
      </c>
      <c r="K110" s="307" t="s">
        <v>286</v>
      </c>
      <c r="L110" s="307"/>
      <c r="M110" s="326" t="s">
        <v>286</v>
      </c>
      <c r="N110" s="326" t="s">
        <v>286</v>
      </c>
      <c r="O110" s="326" t="s">
        <v>286</v>
      </c>
      <c r="P110" s="326" t="s">
        <v>286</v>
      </c>
      <c r="Q110" s="326"/>
      <c r="R110" s="326"/>
      <c r="S110" s="326" t="s">
        <v>286</v>
      </c>
      <c r="T110" s="307" t="s">
        <v>286</v>
      </c>
    </row>
    <row r="111" spans="1:20" s="285" customFormat="1" x14ac:dyDescent="0.25">
      <c r="A111" s="289" t="s">
        <v>1100</v>
      </c>
      <c r="B111" s="270" t="s">
        <v>1101</v>
      </c>
      <c r="C111" s="288" t="s">
        <v>748</v>
      </c>
      <c r="D111" s="305" t="s">
        <v>286</v>
      </c>
      <c r="E111" s="305" t="s">
        <v>286</v>
      </c>
      <c r="F111" s="305" t="s">
        <v>286</v>
      </c>
      <c r="G111" s="307" t="s">
        <v>286</v>
      </c>
      <c r="H111" s="307" t="s">
        <v>286</v>
      </c>
      <c r="I111" s="307" t="s">
        <v>286</v>
      </c>
      <c r="J111" s="307" t="s">
        <v>286</v>
      </c>
      <c r="K111" s="307" t="s">
        <v>286</v>
      </c>
      <c r="L111" s="307" t="s">
        <v>286</v>
      </c>
      <c r="M111" s="326" t="s">
        <v>286</v>
      </c>
      <c r="N111" s="326" t="s">
        <v>286</v>
      </c>
      <c r="O111" s="326" t="s">
        <v>286</v>
      </c>
      <c r="P111" s="326" t="s">
        <v>286</v>
      </c>
      <c r="Q111" s="326"/>
      <c r="R111" s="326"/>
      <c r="S111" s="326" t="s">
        <v>286</v>
      </c>
      <c r="T111" s="307" t="s">
        <v>286</v>
      </c>
    </row>
    <row r="112" spans="1:20" s="283" customFormat="1" x14ac:dyDescent="0.25">
      <c r="A112" s="289" t="s">
        <v>530</v>
      </c>
      <c r="B112" s="268" t="s">
        <v>936</v>
      </c>
      <c r="C112" s="288" t="s">
        <v>748</v>
      </c>
      <c r="D112" s="316">
        <v>76.739999999999995</v>
      </c>
      <c r="E112" s="317">
        <v>133.25</v>
      </c>
      <c r="F112" s="305">
        <v>214.35000000000002</v>
      </c>
      <c r="G112" s="318">
        <v>20</v>
      </c>
      <c r="H112" s="307">
        <v>51.469010000000011</v>
      </c>
      <c r="I112" s="307">
        <v>38.988</v>
      </c>
      <c r="J112" s="307">
        <v>38.846800000000002</v>
      </c>
      <c r="K112" s="307">
        <f>K105-K106-K107</f>
        <v>56.320000000000007</v>
      </c>
      <c r="L112" s="307">
        <f>38.59241-L108</f>
        <v>36.922440000000002</v>
      </c>
      <c r="M112" s="326">
        <v>32.173000000000002</v>
      </c>
      <c r="N112" s="326" t="s">
        <v>286</v>
      </c>
      <c r="O112" s="326">
        <f>M112*1.04</f>
        <v>33.459920000000004</v>
      </c>
      <c r="P112" s="326" t="s">
        <v>286</v>
      </c>
      <c r="Q112" s="326">
        <f t="shared" ref="Q112" si="43">O112*1.041</f>
        <v>34.831776720000001</v>
      </c>
      <c r="R112" s="326">
        <f t="shared" ref="R112" si="44">Q112*1.041</f>
        <v>36.259879565519995</v>
      </c>
      <c r="S112" s="326">
        <f t="shared" ref="S112" si="45">G112+I112+K112+O112+M112</f>
        <v>180.94092000000001</v>
      </c>
      <c r="T112" s="307" t="s">
        <v>286</v>
      </c>
    </row>
    <row r="113" spans="1:20" s="285" customFormat="1" ht="15" customHeight="1" x14ac:dyDescent="0.25">
      <c r="A113" s="289" t="s">
        <v>1103</v>
      </c>
      <c r="B113" s="268" t="s">
        <v>1102</v>
      </c>
      <c r="C113" s="288" t="s">
        <v>748</v>
      </c>
      <c r="D113" s="305" t="s">
        <v>286</v>
      </c>
      <c r="E113" s="305" t="s">
        <v>286</v>
      </c>
      <c r="F113" s="305" t="s">
        <v>286</v>
      </c>
      <c r="G113" s="307" t="s">
        <v>286</v>
      </c>
      <c r="H113" s="307" t="s">
        <v>286</v>
      </c>
      <c r="I113" s="307" t="s">
        <v>286</v>
      </c>
      <c r="J113" s="307" t="s">
        <v>286</v>
      </c>
      <c r="K113" s="307" t="s">
        <v>286</v>
      </c>
      <c r="L113" s="307" t="s">
        <v>286</v>
      </c>
      <c r="M113" s="326" t="s">
        <v>286</v>
      </c>
      <c r="N113" s="326" t="s">
        <v>286</v>
      </c>
      <c r="O113" s="326" t="s">
        <v>286</v>
      </c>
      <c r="P113" s="326" t="s">
        <v>286</v>
      </c>
      <c r="Q113" s="326"/>
      <c r="R113" s="326"/>
      <c r="S113" s="326" t="s">
        <v>286</v>
      </c>
      <c r="T113" s="307" t="s">
        <v>286</v>
      </c>
    </row>
    <row r="114" spans="1:20" s="285" customFormat="1" x14ac:dyDescent="0.25">
      <c r="A114" s="289" t="s">
        <v>1105</v>
      </c>
      <c r="B114" s="268" t="s">
        <v>1104</v>
      </c>
      <c r="C114" s="288" t="s">
        <v>748</v>
      </c>
      <c r="D114" s="305" t="s">
        <v>286</v>
      </c>
      <c r="E114" s="305" t="s">
        <v>286</v>
      </c>
      <c r="F114" s="305" t="s">
        <v>286</v>
      </c>
      <c r="G114" s="307" t="s">
        <v>286</v>
      </c>
      <c r="H114" s="307" t="s">
        <v>286</v>
      </c>
      <c r="I114" s="307" t="s">
        <v>286</v>
      </c>
      <c r="J114" s="307" t="s">
        <v>286</v>
      </c>
      <c r="K114" s="307" t="s">
        <v>286</v>
      </c>
      <c r="L114" s="307" t="s">
        <v>286</v>
      </c>
      <c r="M114" s="326" t="s">
        <v>286</v>
      </c>
      <c r="N114" s="326" t="s">
        <v>286</v>
      </c>
      <c r="O114" s="326" t="s">
        <v>286</v>
      </c>
      <c r="P114" s="326" t="s">
        <v>286</v>
      </c>
      <c r="Q114" s="326"/>
      <c r="R114" s="326"/>
      <c r="S114" s="326" t="s">
        <v>286</v>
      </c>
      <c r="T114" s="307" t="s">
        <v>286</v>
      </c>
    </row>
    <row r="115" spans="1:20" s="283" customFormat="1" x14ac:dyDescent="0.25">
      <c r="A115" s="298" t="s">
        <v>28</v>
      </c>
      <c r="B115" s="299" t="s">
        <v>1155</v>
      </c>
      <c r="C115" s="300" t="s">
        <v>748</v>
      </c>
      <c r="D115" s="303">
        <v>60.84</v>
      </c>
      <c r="E115" s="303">
        <v>58.97</v>
      </c>
      <c r="F115" s="303">
        <v>143.84</v>
      </c>
      <c r="G115" s="308">
        <v>61.161789999999641</v>
      </c>
      <c r="H115" s="308">
        <v>168.07090999999983</v>
      </c>
      <c r="I115" s="308">
        <v>64.913769999999914</v>
      </c>
      <c r="J115" s="308">
        <f>J81+J96</f>
        <v>232.89710000000025</v>
      </c>
      <c r="K115" s="308">
        <f>K81+K96</f>
        <v>81.108999999999583</v>
      </c>
      <c r="L115" s="308">
        <f>L81+L96</f>
        <v>212.03816999999992</v>
      </c>
      <c r="M115" s="308">
        <f>M81+M96</f>
        <v>66.390749999999827</v>
      </c>
      <c r="N115" s="327"/>
      <c r="O115" s="308">
        <f>O81+O96</f>
        <v>204.19172255000046</v>
      </c>
      <c r="P115" s="327"/>
      <c r="Q115" s="308">
        <f>Q81+Q96</f>
        <v>147.5993831745505</v>
      </c>
      <c r="R115" s="308">
        <f t="shared" ref="R115" si="46">R81+R96</f>
        <v>153.35495788470658</v>
      </c>
      <c r="S115" s="308">
        <f>S81+S96</f>
        <v>477.76703254999939</v>
      </c>
      <c r="T115" s="327"/>
    </row>
    <row r="116" spans="1:20" s="283" customFormat="1" x14ac:dyDescent="0.25">
      <c r="A116" s="289" t="s">
        <v>58</v>
      </c>
      <c r="B116" s="267" t="s">
        <v>1007</v>
      </c>
      <c r="C116" s="288" t="s">
        <v>748</v>
      </c>
      <c r="D116" s="305" t="s">
        <v>286</v>
      </c>
      <c r="E116" s="305" t="s">
        <v>286</v>
      </c>
      <c r="F116" s="305" t="s">
        <v>286</v>
      </c>
      <c r="G116" s="307" t="s">
        <v>286</v>
      </c>
      <c r="H116" s="307" t="s">
        <v>286</v>
      </c>
      <c r="I116" s="307" t="s">
        <v>286</v>
      </c>
      <c r="J116" s="307" t="s">
        <v>286</v>
      </c>
      <c r="K116" s="307" t="s">
        <v>286</v>
      </c>
      <c r="L116" s="307" t="s">
        <v>286</v>
      </c>
      <c r="M116" s="326" t="s">
        <v>286</v>
      </c>
      <c r="N116" s="326"/>
      <c r="O116" s="326"/>
      <c r="P116" s="326"/>
      <c r="Q116" s="326"/>
      <c r="R116" s="326"/>
      <c r="S116" s="326"/>
      <c r="T116" s="326"/>
    </row>
    <row r="117" spans="1:20" s="283" customFormat="1" ht="31.5" x14ac:dyDescent="0.25">
      <c r="A117" s="289" t="s">
        <v>884</v>
      </c>
      <c r="B117" s="136" t="s">
        <v>897</v>
      </c>
      <c r="C117" s="288" t="s">
        <v>748</v>
      </c>
      <c r="D117" s="305" t="s">
        <v>286</v>
      </c>
      <c r="E117" s="305" t="s">
        <v>286</v>
      </c>
      <c r="F117" s="305" t="s">
        <v>286</v>
      </c>
      <c r="G117" s="307" t="s">
        <v>286</v>
      </c>
      <c r="H117" s="307" t="s">
        <v>286</v>
      </c>
      <c r="I117" s="307" t="s">
        <v>286</v>
      </c>
      <c r="J117" s="307" t="s">
        <v>286</v>
      </c>
      <c r="K117" s="307" t="s">
        <v>286</v>
      </c>
      <c r="L117" s="307" t="s">
        <v>286</v>
      </c>
      <c r="M117" s="326" t="s">
        <v>286</v>
      </c>
      <c r="N117" s="326"/>
      <c r="O117" s="326"/>
      <c r="P117" s="326"/>
      <c r="Q117" s="326"/>
      <c r="R117" s="326"/>
      <c r="S117" s="326"/>
      <c r="T117" s="326"/>
    </row>
    <row r="118" spans="1:20" s="283" customFormat="1" ht="31.5" x14ac:dyDescent="0.25">
      <c r="A118" s="289" t="s">
        <v>885</v>
      </c>
      <c r="B118" s="136" t="s">
        <v>898</v>
      </c>
      <c r="C118" s="288" t="s">
        <v>748</v>
      </c>
      <c r="D118" s="305" t="s">
        <v>286</v>
      </c>
      <c r="E118" s="305" t="s">
        <v>286</v>
      </c>
      <c r="F118" s="305" t="s">
        <v>286</v>
      </c>
      <c r="G118" s="307" t="s">
        <v>286</v>
      </c>
      <c r="H118" s="307" t="s">
        <v>286</v>
      </c>
      <c r="I118" s="307" t="s">
        <v>286</v>
      </c>
      <c r="J118" s="307" t="s">
        <v>286</v>
      </c>
      <c r="K118" s="307" t="s">
        <v>286</v>
      </c>
      <c r="L118" s="307" t="s">
        <v>286</v>
      </c>
      <c r="M118" s="326" t="s">
        <v>286</v>
      </c>
      <c r="N118" s="326"/>
      <c r="O118" s="326"/>
      <c r="P118" s="326"/>
      <c r="Q118" s="326"/>
      <c r="R118" s="326"/>
      <c r="S118" s="326"/>
      <c r="T118" s="326"/>
    </row>
    <row r="119" spans="1:20" s="283" customFormat="1" ht="31.5" x14ac:dyDescent="0.25">
      <c r="A119" s="289" t="s">
        <v>980</v>
      </c>
      <c r="B119" s="136" t="s">
        <v>883</v>
      </c>
      <c r="C119" s="288" t="s">
        <v>748</v>
      </c>
      <c r="D119" s="305" t="s">
        <v>286</v>
      </c>
      <c r="E119" s="305" t="s">
        <v>286</v>
      </c>
      <c r="F119" s="305" t="s">
        <v>286</v>
      </c>
      <c r="G119" s="307" t="s">
        <v>286</v>
      </c>
      <c r="H119" s="307" t="s">
        <v>286</v>
      </c>
      <c r="I119" s="307" t="s">
        <v>286</v>
      </c>
      <c r="J119" s="307" t="s">
        <v>286</v>
      </c>
      <c r="K119" s="307" t="s">
        <v>286</v>
      </c>
      <c r="L119" s="307" t="s">
        <v>286</v>
      </c>
      <c r="M119" s="326" t="s">
        <v>286</v>
      </c>
      <c r="N119" s="326"/>
      <c r="O119" s="326"/>
      <c r="P119" s="326"/>
      <c r="Q119" s="326"/>
      <c r="R119" s="326"/>
      <c r="S119" s="326"/>
      <c r="T119" s="326"/>
    </row>
    <row r="120" spans="1:20" s="283" customFormat="1" x14ac:dyDescent="0.25">
      <c r="A120" s="289" t="s">
        <v>59</v>
      </c>
      <c r="B120" s="266" t="s">
        <v>1044</v>
      </c>
      <c r="C120" s="288" t="s">
        <v>748</v>
      </c>
      <c r="D120" s="305" t="s">
        <v>286</v>
      </c>
      <c r="E120" s="305" t="s">
        <v>286</v>
      </c>
      <c r="F120" s="305" t="s">
        <v>286</v>
      </c>
      <c r="G120" s="307" t="s">
        <v>286</v>
      </c>
      <c r="H120" s="307" t="s">
        <v>286</v>
      </c>
      <c r="I120" s="307" t="s">
        <v>286</v>
      </c>
      <c r="J120" s="307" t="s">
        <v>286</v>
      </c>
      <c r="K120" s="307" t="s">
        <v>286</v>
      </c>
      <c r="L120" s="307" t="s">
        <v>286</v>
      </c>
      <c r="M120" s="326" t="s">
        <v>286</v>
      </c>
      <c r="N120" s="326"/>
      <c r="O120" s="326"/>
      <c r="P120" s="326"/>
      <c r="Q120" s="326"/>
      <c r="R120" s="326"/>
      <c r="S120" s="326"/>
      <c r="T120" s="326"/>
    </row>
    <row r="121" spans="1:20" s="283" customFormat="1" x14ac:dyDescent="0.25">
      <c r="A121" s="289" t="s">
        <v>756</v>
      </c>
      <c r="B121" s="266" t="s">
        <v>937</v>
      </c>
      <c r="C121" s="288" t="s">
        <v>748</v>
      </c>
      <c r="D121" s="305">
        <v>55.352232000000008</v>
      </c>
      <c r="E121" s="305">
        <v>29.8</v>
      </c>
      <c r="F121" s="305">
        <v>25.76</v>
      </c>
      <c r="G121" s="307">
        <v>16.991999999999855</v>
      </c>
      <c r="H121" s="307">
        <v>46.249110918205737</v>
      </c>
      <c r="I121" s="307">
        <v>21.3125910878661</v>
      </c>
      <c r="J121" s="307">
        <v>47.069000000000003</v>
      </c>
      <c r="K121" s="307">
        <f>K87+K97*$U$24%-K107</f>
        <v>25.770009586983079</v>
      </c>
      <c r="L121" s="307">
        <v>104.42941999999999</v>
      </c>
      <c r="M121" s="307">
        <f>M87+M97*$V$24%-M107</f>
        <v>17.45642616351391</v>
      </c>
      <c r="N121" s="326"/>
      <c r="O121" s="307">
        <f>O87+O99-O107</f>
        <v>120.64928800000024</v>
      </c>
      <c r="P121" s="326"/>
      <c r="Q121" s="307">
        <f t="shared" ref="Q121:R121" si="47">Q87+Q99-Q107</f>
        <v>127.82554160800009</v>
      </c>
      <c r="R121" s="307">
        <f t="shared" si="47"/>
        <v>135.28230698992809</v>
      </c>
      <c r="S121" s="326">
        <f t="shared" ref="S121" si="48">G121+I121+K121+O121+M121</f>
        <v>202.18031483836319</v>
      </c>
      <c r="T121" s="326"/>
    </row>
    <row r="122" spans="1:20" s="283" customFormat="1" x14ac:dyDescent="0.25">
      <c r="A122" s="289" t="s">
        <v>757</v>
      </c>
      <c r="B122" s="266" t="s">
        <v>1045</v>
      </c>
      <c r="C122" s="288" t="s">
        <v>748</v>
      </c>
      <c r="D122" s="305" t="s">
        <v>286</v>
      </c>
      <c r="F122" s="305" t="s">
        <v>286</v>
      </c>
      <c r="G122" s="307" t="s">
        <v>286</v>
      </c>
      <c r="H122" s="307" t="s">
        <v>286</v>
      </c>
      <c r="I122" s="307" t="s">
        <v>286</v>
      </c>
      <c r="J122" s="307" t="s">
        <v>286</v>
      </c>
      <c r="K122" s="307" t="s">
        <v>286</v>
      </c>
      <c r="L122" s="307"/>
      <c r="M122" s="326" t="s">
        <v>286</v>
      </c>
      <c r="N122" s="326"/>
      <c r="O122" s="413"/>
      <c r="P122" s="413"/>
      <c r="Q122" s="413"/>
      <c r="R122" s="413"/>
      <c r="S122" s="326"/>
      <c r="T122" s="326"/>
    </row>
    <row r="123" spans="1:20" s="283" customFormat="1" x14ac:dyDescent="0.25">
      <c r="A123" s="289" t="s">
        <v>758</v>
      </c>
      <c r="B123" s="266" t="s">
        <v>938</v>
      </c>
      <c r="C123" s="288" t="s">
        <v>748</v>
      </c>
      <c r="D123" s="305">
        <v>0.82134000000000018</v>
      </c>
      <c r="E123" s="305">
        <v>0.85</v>
      </c>
      <c r="F123" s="305">
        <v>19.04</v>
      </c>
      <c r="G123" s="307">
        <v>-8.9499999999999993</v>
      </c>
      <c r="H123" s="307">
        <v>-3.0841399999999979</v>
      </c>
      <c r="I123" s="307">
        <v>-12.110399440523285</v>
      </c>
      <c r="J123" s="314">
        <v>68.260000000000005</v>
      </c>
      <c r="K123" s="307">
        <v>0</v>
      </c>
      <c r="L123" s="307">
        <v>73.514089999999996</v>
      </c>
      <c r="M123" s="307">
        <f>M89+M97*$V$26%-(M112+M106)*$V$26%</f>
        <v>44.284161877411371</v>
      </c>
      <c r="N123" s="326"/>
      <c r="O123" s="414">
        <f>O89+O102*$W$26%-O112*$W$26%</f>
        <v>61.974530279551693</v>
      </c>
      <c r="P123" s="413"/>
      <c r="Q123" s="414">
        <f>Q89+Q102*$X$26%-Q112*$X$26%</f>
        <v>0.1924654831527266</v>
      </c>
      <c r="R123" s="414">
        <f>R89+R102*$Y$26%-R112*$Y$26%</f>
        <v>-9.2658367603547509E-2</v>
      </c>
      <c r="S123" s="326">
        <f t="shared" ref="S123" si="49">G123+I123+K123+O123+M123</f>
        <v>85.198292716439781</v>
      </c>
      <c r="T123" s="326"/>
    </row>
    <row r="124" spans="1:20" s="283" customFormat="1" x14ac:dyDescent="0.25">
      <c r="A124" s="289" t="s">
        <v>759</v>
      </c>
      <c r="B124" s="266" t="s">
        <v>939</v>
      </c>
      <c r="C124" s="288" t="s">
        <v>748</v>
      </c>
      <c r="D124" s="305" t="s">
        <v>286</v>
      </c>
      <c r="E124" s="305" t="s">
        <v>286</v>
      </c>
      <c r="F124" s="305" t="s">
        <v>286</v>
      </c>
      <c r="G124" s="307"/>
      <c r="H124" s="307" t="s">
        <v>286</v>
      </c>
      <c r="I124" s="307" t="s">
        <v>286</v>
      </c>
      <c r="J124" s="307" t="s">
        <v>286</v>
      </c>
      <c r="K124" s="307" t="s">
        <v>286</v>
      </c>
      <c r="L124" s="307" t="s">
        <v>286</v>
      </c>
      <c r="M124" s="326" t="s">
        <v>286</v>
      </c>
      <c r="N124" s="326"/>
      <c r="O124" s="413"/>
      <c r="P124" s="413"/>
      <c r="Q124" s="413"/>
      <c r="R124" s="413"/>
      <c r="S124" s="326"/>
      <c r="T124" s="326"/>
    </row>
    <row r="125" spans="1:20" s="283" customFormat="1" x14ac:dyDescent="0.25">
      <c r="A125" s="289" t="s">
        <v>760</v>
      </c>
      <c r="B125" s="266" t="s">
        <v>1052</v>
      </c>
      <c r="C125" s="288" t="s">
        <v>748</v>
      </c>
      <c r="D125" s="305" t="s">
        <v>286</v>
      </c>
      <c r="E125" s="305" t="s">
        <v>286</v>
      </c>
      <c r="F125" s="305" t="s">
        <v>286</v>
      </c>
      <c r="G125" s="307" t="s">
        <v>286</v>
      </c>
      <c r="H125" s="307" t="s">
        <v>286</v>
      </c>
      <c r="I125" s="307" t="s">
        <v>286</v>
      </c>
      <c r="J125" s="307" t="s">
        <v>286</v>
      </c>
      <c r="K125" s="307" t="s">
        <v>286</v>
      </c>
      <c r="L125" s="307" t="s">
        <v>286</v>
      </c>
      <c r="M125" s="326" t="s">
        <v>286</v>
      </c>
      <c r="N125" s="326"/>
      <c r="O125" s="413"/>
      <c r="P125" s="413"/>
      <c r="Q125" s="413"/>
      <c r="R125" s="413"/>
      <c r="S125" s="326"/>
      <c r="T125" s="326"/>
    </row>
    <row r="126" spans="1:20" s="283" customFormat="1" ht="31.5" x14ac:dyDescent="0.25">
      <c r="A126" s="289" t="s">
        <v>761</v>
      </c>
      <c r="B126" s="267" t="s">
        <v>817</v>
      </c>
      <c r="C126" s="288" t="s">
        <v>748</v>
      </c>
      <c r="D126" s="305" t="s">
        <v>286</v>
      </c>
      <c r="E126" s="305" t="s">
        <v>286</v>
      </c>
      <c r="F126" s="305" t="s">
        <v>286</v>
      </c>
      <c r="G126" s="307" t="s">
        <v>286</v>
      </c>
      <c r="H126" s="307" t="s">
        <v>286</v>
      </c>
      <c r="I126" s="307" t="s">
        <v>286</v>
      </c>
      <c r="J126" s="307" t="s">
        <v>286</v>
      </c>
      <c r="K126" s="307" t="s">
        <v>286</v>
      </c>
      <c r="L126" s="307" t="s">
        <v>286</v>
      </c>
      <c r="M126" s="326" t="s">
        <v>286</v>
      </c>
      <c r="N126" s="326"/>
      <c r="O126" s="413"/>
      <c r="P126" s="413"/>
      <c r="Q126" s="413"/>
      <c r="R126" s="413"/>
      <c r="S126" s="326"/>
      <c r="T126" s="326"/>
    </row>
    <row r="127" spans="1:20" s="283" customFormat="1" x14ac:dyDescent="0.25">
      <c r="A127" s="289" t="s">
        <v>981</v>
      </c>
      <c r="B127" s="268" t="s">
        <v>643</v>
      </c>
      <c r="C127" s="288" t="s">
        <v>748</v>
      </c>
      <c r="D127" s="305" t="s">
        <v>286</v>
      </c>
      <c r="E127" s="305" t="s">
        <v>286</v>
      </c>
      <c r="F127" s="305" t="s">
        <v>286</v>
      </c>
      <c r="G127" s="307" t="s">
        <v>286</v>
      </c>
      <c r="H127" s="307" t="s">
        <v>286</v>
      </c>
      <c r="I127" s="307" t="s">
        <v>286</v>
      </c>
      <c r="J127" s="307" t="s">
        <v>286</v>
      </c>
      <c r="K127" s="307" t="s">
        <v>286</v>
      </c>
      <c r="L127" s="307" t="s">
        <v>286</v>
      </c>
      <c r="M127" s="326" t="s">
        <v>286</v>
      </c>
      <c r="N127" s="326"/>
      <c r="O127" s="413"/>
      <c r="P127" s="413"/>
      <c r="Q127" s="413"/>
      <c r="R127" s="413"/>
      <c r="S127" s="326"/>
      <c r="T127" s="326"/>
    </row>
    <row r="128" spans="1:20" s="283" customFormat="1" x14ac:dyDescent="0.25">
      <c r="A128" s="289" t="s">
        <v>982</v>
      </c>
      <c r="B128" s="268" t="s">
        <v>631</v>
      </c>
      <c r="C128" s="288" t="s">
        <v>748</v>
      </c>
      <c r="D128" s="305" t="s">
        <v>286</v>
      </c>
      <c r="E128" s="305" t="s">
        <v>286</v>
      </c>
      <c r="F128" s="305" t="s">
        <v>286</v>
      </c>
      <c r="G128" s="307" t="s">
        <v>286</v>
      </c>
      <c r="H128" s="307" t="s">
        <v>286</v>
      </c>
      <c r="I128" s="307" t="s">
        <v>286</v>
      </c>
      <c r="J128" s="307" t="s">
        <v>286</v>
      </c>
      <c r="K128" s="307" t="s">
        <v>286</v>
      </c>
      <c r="L128" s="307" t="s">
        <v>286</v>
      </c>
      <c r="M128" s="326" t="s">
        <v>286</v>
      </c>
      <c r="N128" s="326"/>
      <c r="O128" s="413"/>
      <c r="P128" s="413"/>
      <c r="Q128" s="413"/>
      <c r="R128" s="413"/>
      <c r="S128" s="326"/>
      <c r="T128" s="326"/>
    </row>
    <row r="129" spans="1:20" s="283" customFormat="1" x14ac:dyDescent="0.2">
      <c r="A129" s="289" t="s">
        <v>762</v>
      </c>
      <c r="B129" s="266" t="s">
        <v>940</v>
      </c>
      <c r="C129" s="288" t="s">
        <v>748</v>
      </c>
      <c r="D129" s="323">
        <v>4.6664279999999954</v>
      </c>
      <c r="E129" s="319">
        <v>28.33</v>
      </c>
      <c r="F129" s="305">
        <v>99</v>
      </c>
      <c r="G129" s="307">
        <v>53.12</v>
      </c>
      <c r="H129" s="307">
        <v>124.90593908179409</v>
      </c>
      <c r="I129" s="307">
        <v>43.601178912133818</v>
      </c>
      <c r="J129" s="326">
        <v>117.56810000000023</v>
      </c>
      <c r="K129" s="326">
        <f>K115-K121-K123</f>
        <v>55.338990413016504</v>
      </c>
      <c r="L129" s="307">
        <v>34.094659999999934</v>
      </c>
      <c r="M129" s="326">
        <f>M115-M121-M123</f>
        <v>4.6501619590745449</v>
      </c>
      <c r="N129" s="326"/>
      <c r="O129" s="413">
        <f>O115-O121-O123</f>
        <v>21.56790427044853</v>
      </c>
      <c r="P129" s="413"/>
      <c r="Q129" s="413">
        <f>Q115-Q121-Q123</f>
        <v>19.581376083397675</v>
      </c>
      <c r="R129" s="413">
        <f>R115-R121-R123</f>
        <v>18.165309262382038</v>
      </c>
      <c r="S129" s="326">
        <f t="shared" ref="S129:S130" si="50">G129+I129+K129+O129+M129</f>
        <v>178.27823555467339</v>
      </c>
      <c r="T129" s="326"/>
    </row>
    <row r="130" spans="1:20" s="283" customFormat="1" x14ac:dyDescent="0.25">
      <c r="A130" s="298" t="s">
        <v>29</v>
      </c>
      <c r="B130" s="299" t="s">
        <v>1016</v>
      </c>
      <c r="C130" s="300" t="s">
        <v>748</v>
      </c>
      <c r="D130" s="303">
        <v>24.81</v>
      </c>
      <c r="E130" s="303">
        <v>38.68</v>
      </c>
      <c r="F130" s="303">
        <v>36.68</v>
      </c>
      <c r="G130" s="308">
        <v>12.232357999999929</v>
      </c>
      <c r="H130" s="308">
        <v>27.584900000000001</v>
      </c>
      <c r="I130" s="308">
        <v>12.982753999999984</v>
      </c>
      <c r="J130" s="325">
        <v>61.64</v>
      </c>
      <c r="K130" s="327">
        <f>K115*0.2</f>
        <v>16.221799999999917</v>
      </c>
      <c r="L130" s="327">
        <v>42.04</v>
      </c>
      <c r="M130" s="327">
        <f>M136+M138+M144</f>
        <v>16.597687499999957</v>
      </c>
      <c r="N130" s="327"/>
      <c r="O130" s="327">
        <f>O136+O138+O144</f>
        <v>51.047930637500116</v>
      </c>
      <c r="P130" s="327"/>
      <c r="Q130" s="327">
        <f>Q136+Q138+Q144</f>
        <v>36.899845793637624</v>
      </c>
      <c r="R130" s="327">
        <f>R136+R138+R144</f>
        <v>38.361904063077532</v>
      </c>
      <c r="S130" s="327">
        <f t="shared" si="50"/>
        <v>109.0825301374999</v>
      </c>
      <c r="T130" s="327"/>
    </row>
    <row r="131" spans="1:20" s="283" customFormat="1" x14ac:dyDescent="0.25">
      <c r="A131" s="289" t="s">
        <v>25</v>
      </c>
      <c r="B131" s="266" t="s">
        <v>1007</v>
      </c>
      <c r="C131" s="288" t="s">
        <v>748</v>
      </c>
      <c r="D131" s="305" t="s">
        <v>286</v>
      </c>
      <c r="E131" s="305" t="s">
        <v>286</v>
      </c>
      <c r="F131" s="305" t="s">
        <v>286</v>
      </c>
      <c r="G131" s="307" t="s">
        <v>286</v>
      </c>
      <c r="H131" s="307" t="s">
        <v>286</v>
      </c>
      <c r="I131" s="307" t="s">
        <v>286</v>
      </c>
      <c r="J131" s="307" t="s">
        <v>286</v>
      </c>
      <c r="K131" s="326" t="s">
        <v>286</v>
      </c>
      <c r="L131" s="307" t="s">
        <v>286</v>
      </c>
      <c r="M131" s="326" t="s">
        <v>286</v>
      </c>
      <c r="N131" s="326" t="s">
        <v>286</v>
      </c>
      <c r="O131" s="326" t="s">
        <v>286</v>
      </c>
      <c r="P131" s="326" t="s">
        <v>286</v>
      </c>
      <c r="Q131" s="326"/>
      <c r="R131" s="326"/>
      <c r="S131" s="326" t="s">
        <v>286</v>
      </c>
      <c r="T131" s="326" t="s">
        <v>286</v>
      </c>
    </row>
    <row r="132" spans="1:20" s="283" customFormat="1" ht="31.5" x14ac:dyDescent="0.25">
      <c r="A132" s="289" t="s">
        <v>1004</v>
      </c>
      <c r="B132" s="136" t="s">
        <v>897</v>
      </c>
      <c r="C132" s="288" t="s">
        <v>748</v>
      </c>
      <c r="D132" s="305" t="s">
        <v>286</v>
      </c>
      <c r="E132" s="305" t="s">
        <v>286</v>
      </c>
      <c r="F132" s="305" t="s">
        <v>286</v>
      </c>
      <c r="G132" s="307" t="s">
        <v>286</v>
      </c>
      <c r="H132" s="307" t="s">
        <v>286</v>
      </c>
      <c r="I132" s="307" t="s">
        <v>286</v>
      </c>
      <c r="J132" s="307" t="s">
        <v>286</v>
      </c>
      <c r="K132" s="326" t="s">
        <v>286</v>
      </c>
      <c r="L132" s="307" t="s">
        <v>286</v>
      </c>
      <c r="M132" s="326" t="s">
        <v>286</v>
      </c>
      <c r="N132" s="326" t="s">
        <v>286</v>
      </c>
      <c r="O132" s="326" t="s">
        <v>286</v>
      </c>
      <c r="P132" s="326" t="s">
        <v>286</v>
      </c>
      <c r="Q132" s="326"/>
      <c r="R132" s="326"/>
      <c r="S132" s="326" t="s">
        <v>286</v>
      </c>
      <c r="T132" s="326" t="s">
        <v>286</v>
      </c>
    </row>
    <row r="133" spans="1:20" s="283" customFormat="1" ht="31.5" x14ac:dyDescent="0.25">
      <c r="A133" s="289" t="s">
        <v>1005</v>
      </c>
      <c r="B133" s="136" t="s">
        <v>898</v>
      </c>
      <c r="C133" s="288" t="s">
        <v>748</v>
      </c>
      <c r="D133" s="305" t="s">
        <v>286</v>
      </c>
      <c r="E133" s="305" t="s">
        <v>286</v>
      </c>
      <c r="F133" s="305" t="s">
        <v>286</v>
      </c>
      <c r="G133" s="307" t="s">
        <v>286</v>
      </c>
      <c r="H133" s="307" t="s">
        <v>286</v>
      </c>
      <c r="I133" s="307" t="s">
        <v>286</v>
      </c>
      <c r="J133" s="307" t="s">
        <v>286</v>
      </c>
      <c r="K133" s="326" t="s">
        <v>286</v>
      </c>
      <c r="L133" s="307" t="s">
        <v>286</v>
      </c>
      <c r="M133" s="326" t="s">
        <v>286</v>
      </c>
      <c r="N133" s="326" t="s">
        <v>286</v>
      </c>
      <c r="O133" s="326" t="s">
        <v>286</v>
      </c>
      <c r="P133" s="326" t="s">
        <v>286</v>
      </c>
      <c r="Q133" s="326"/>
      <c r="R133" s="326"/>
      <c r="S133" s="326" t="s">
        <v>286</v>
      </c>
      <c r="T133" s="326" t="s">
        <v>286</v>
      </c>
    </row>
    <row r="134" spans="1:20" s="283" customFormat="1" ht="31.5" x14ac:dyDescent="0.25">
      <c r="A134" s="289" t="s">
        <v>1006</v>
      </c>
      <c r="B134" s="136" t="s">
        <v>883</v>
      </c>
      <c r="C134" s="288" t="s">
        <v>748</v>
      </c>
      <c r="D134" s="305" t="s">
        <v>286</v>
      </c>
      <c r="E134" s="305" t="s">
        <v>286</v>
      </c>
      <c r="F134" s="305" t="s">
        <v>286</v>
      </c>
      <c r="G134" s="307" t="s">
        <v>286</v>
      </c>
      <c r="H134" s="307" t="s">
        <v>286</v>
      </c>
      <c r="I134" s="307" t="s">
        <v>286</v>
      </c>
      <c r="J134" s="307" t="s">
        <v>286</v>
      </c>
      <c r="K134" s="326" t="s">
        <v>286</v>
      </c>
      <c r="L134" s="307" t="s">
        <v>286</v>
      </c>
      <c r="M134" s="326" t="s">
        <v>286</v>
      </c>
      <c r="N134" s="326" t="s">
        <v>286</v>
      </c>
      <c r="O134" s="326" t="s">
        <v>286</v>
      </c>
      <c r="P134" s="326" t="s">
        <v>286</v>
      </c>
      <c r="Q134" s="326"/>
      <c r="R134" s="326"/>
      <c r="S134" s="326" t="s">
        <v>286</v>
      </c>
      <c r="T134" s="326" t="s">
        <v>286</v>
      </c>
    </row>
    <row r="135" spans="1:20" s="283" customFormat="1" x14ac:dyDescent="0.25">
      <c r="A135" s="289" t="s">
        <v>806</v>
      </c>
      <c r="B135" s="269" t="s">
        <v>1053</v>
      </c>
      <c r="C135" s="288" t="s">
        <v>748</v>
      </c>
      <c r="D135" s="305" t="s">
        <v>286</v>
      </c>
      <c r="E135" s="305" t="s">
        <v>286</v>
      </c>
      <c r="F135" s="305" t="s">
        <v>286</v>
      </c>
      <c r="G135" s="307" t="s">
        <v>286</v>
      </c>
      <c r="H135" s="307" t="s">
        <v>286</v>
      </c>
      <c r="I135" s="307" t="s">
        <v>286</v>
      </c>
      <c r="J135" s="307" t="s">
        <v>286</v>
      </c>
      <c r="K135" s="326" t="s">
        <v>286</v>
      </c>
      <c r="L135" s="307" t="s">
        <v>286</v>
      </c>
      <c r="M135" s="326" t="s">
        <v>286</v>
      </c>
      <c r="N135" s="326" t="s">
        <v>286</v>
      </c>
      <c r="O135" s="326" t="s">
        <v>286</v>
      </c>
      <c r="P135" s="326" t="s">
        <v>286</v>
      </c>
      <c r="Q135" s="326"/>
      <c r="R135" s="326"/>
      <c r="S135" s="326" t="s">
        <v>286</v>
      </c>
      <c r="T135" s="326" t="s">
        <v>286</v>
      </c>
    </row>
    <row r="136" spans="1:20" s="283" customFormat="1" x14ac:dyDescent="0.25">
      <c r="A136" s="289" t="s">
        <v>807</v>
      </c>
      <c r="B136" s="269" t="s">
        <v>814</v>
      </c>
      <c r="C136" s="288" t="s">
        <v>748</v>
      </c>
      <c r="D136" s="305">
        <v>22.572137999999999</v>
      </c>
      <c r="E136" s="305">
        <v>19.54</v>
      </c>
      <c r="F136" s="305">
        <v>6.57</v>
      </c>
      <c r="G136" s="307">
        <v>3.3983999999999712</v>
      </c>
      <c r="H136" s="307">
        <v>9.2498221836411485</v>
      </c>
      <c r="I136" s="307">
        <v>4.2625182175732199</v>
      </c>
      <c r="J136" s="307">
        <f>J121*0.2</f>
        <v>9.4138000000000002</v>
      </c>
      <c r="K136" s="326">
        <f>K121*0.2</f>
        <v>5.1540019173966165</v>
      </c>
      <c r="L136" s="314">
        <v>20.76</v>
      </c>
      <c r="M136" s="326">
        <f>M121*0.25</f>
        <v>4.3641065408784776</v>
      </c>
      <c r="N136" s="326"/>
      <c r="O136" s="326">
        <f>O121*0.25</f>
        <v>30.16232200000006</v>
      </c>
      <c r="P136" s="326"/>
      <c r="Q136" s="326">
        <f>Q121*0.25</f>
        <v>31.956385402000024</v>
      </c>
      <c r="R136" s="326">
        <f>R121*0.25</f>
        <v>33.820576747482022</v>
      </c>
      <c r="S136" s="326">
        <f t="shared" ref="S136" si="51">G136+I136+K136+O136+M136</f>
        <v>47.341348675848351</v>
      </c>
      <c r="T136" s="326"/>
    </row>
    <row r="137" spans="1:20" s="283" customFormat="1" x14ac:dyDescent="0.25">
      <c r="A137" s="289" t="s">
        <v>808</v>
      </c>
      <c r="B137" s="269" t="s">
        <v>1047</v>
      </c>
      <c r="C137" s="288" t="s">
        <v>748</v>
      </c>
      <c r="D137" s="305" t="s">
        <v>286</v>
      </c>
      <c r="E137" s="305" t="s">
        <v>286</v>
      </c>
      <c r="F137" s="305" t="s">
        <v>286</v>
      </c>
      <c r="G137" s="307" t="s">
        <v>286</v>
      </c>
      <c r="H137" s="307" t="s">
        <v>286</v>
      </c>
      <c r="I137" s="307" t="s">
        <v>286</v>
      </c>
      <c r="J137" s="307" t="s">
        <v>286</v>
      </c>
      <c r="K137" s="326" t="s">
        <v>286</v>
      </c>
      <c r="L137" s="307" t="s">
        <v>286</v>
      </c>
      <c r="M137" s="326" t="s">
        <v>286</v>
      </c>
      <c r="N137" s="326" t="s">
        <v>286</v>
      </c>
      <c r="O137" s="326" t="s">
        <v>286</v>
      </c>
      <c r="P137" s="326" t="s">
        <v>286</v>
      </c>
      <c r="Q137" s="326"/>
      <c r="R137" s="326"/>
      <c r="S137" s="326" t="s">
        <v>286</v>
      </c>
      <c r="T137" s="326" t="s">
        <v>286</v>
      </c>
    </row>
    <row r="138" spans="1:20" s="283" customFormat="1" x14ac:dyDescent="0.25">
      <c r="A138" s="289" t="s">
        <v>809</v>
      </c>
      <c r="B138" s="269" t="s">
        <v>815</v>
      </c>
      <c r="C138" s="288" t="s">
        <v>748</v>
      </c>
      <c r="D138" s="305">
        <v>0.33493500000000004</v>
      </c>
      <c r="E138" s="305">
        <v>0.56000000000000005</v>
      </c>
      <c r="F138" s="305">
        <v>4.8600000000000003</v>
      </c>
      <c r="G138" s="307">
        <v>0</v>
      </c>
      <c r="H138" s="307">
        <v>0</v>
      </c>
      <c r="I138" s="307">
        <v>0</v>
      </c>
      <c r="J138" s="307">
        <f>J123*0.2</f>
        <v>13.652000000000001</v>
      </c>
      <c r="K138" s="326">
        <f>K123*0.2</f>
        <v>0</v>
      </c>
      <c r="L138" s="314">
        <v>14.58</v>
      </c>
      <c r="M138" s="326">
        <f>M123*0.25</f>
        <v>11.071040469352843</v>
      </c>
      <c r="N138" s="326"/>
      <c r="O138" s="326">
        <f>O123*0.25</f>
        <v>15.493632569887923</v>
      </c>
      <c r="P138" s="326"/>
      <c r="Q138" s="326">
        <f>Q123*0.25</f>
        <v>4.811637078818165E-2</v>
      </c>
      <c r="R138" s="326">
        <v>0</v>
      </c>
      <c r="S138" s="326">
        <f t="shared" ref="S138" si="52">G138+I138+K138+O138+M138</f>
        <v>26.564673039240766</v>
      </c>
      <c r="T138" s="326"/>
    </row>
    <row r="139" spans="1:20" s="283" customFormat="1" x14ac:dyDescent="0.25">
      <c r="A139" s="289" t="s">
        <v>810</v>
      </c>
      <c r="B139" s="269" t="s">
        <v>816</v>
      </c>
      <c r="C139" s="288" t="s">
        <v>748</v>
      </c>
      <c r="D139" s="305" t="s">
        <v>286</v>
      </c>
      <c r="E139" s="305" t="s">
        <v>286</v>
      </c>
      <c r="F139" s="305" t="s">
        <v>286</v>
      </c>
      <c r="G139" s="307" t="s">
        <v>286</v>
      </c>
      <c r="H139" s="307" t="s">
        <v>286</v>
      </c>
      <c r="I139" s="307" t="s">
        <v>286</v>
      </c>
      <c r="J139" s="307" t="s">
        <v>286</v>
      </c>
      <c r="K139" s="326" t="s">
        <v>286</v>
      </c>
      <c r="L139" s="307" t="s">
        <v>286</v>
      </c>
      <c r="M139" s="326" t="s">
        <v>286</v>
      </c>
      <c r="N139" s="326" t="s">
        <v>286</v>
      </c>
      <c r="O139" s="326" t="s">
        <v>286</v>
      </c>
      <c r="P139" s="326" t="s">
        <v>286</v>
      </c>
      <c r="Q139" s="326"/>
      <c r="R139" s="326"/>
      <c r="S139" s="326" t="s">
        <v>286</v>
      </c>
      <c r="T139" s="326" t="s">
        <v>286</v>
      </c>
    </row>
    <row r="140" spans="1:20" s="283" customFormat="1" x14ac:dyDescent="0.25">
      <c r="A140" s="289" t="s">
        <v>811</v>
      </c>
      <c r="B140" s="269" t="s">
        <v>1054</v>
      </c>
      <c r="C140" s="288" t="s">
        <v>748</v>
      </c>
      <c r="D140" s="305" t="s">
        <v>286</v>
      </c>
      <c r="E140" s="305" t="s">
        <v>286</v>
      </c>
      <c r="F140" s="305" t="s">
        <v>286</v>
      </c>
      <c r="G140" s="307" t="s">
        <v>286</v>
      </c>
      <c r="H140" s="307" t="s">
        <v>286</v>
      </c>
      <c r="I140" s="307" t="s">
        <v>286</v>
      </c>
      <c r="J140" s="307" t="s">
        <v>286</v>
      </c>
      <c r="K140" s="326" t="s">
        <v>286</v>
      </c>
      <c r="L140" s="307" t="s">
        <v>286</v>
      </c>
      <c r="M140" s="326" t="s">
        <v>286</v>
      </c>
      <c r="N140" s="326" t="s">
        <v>286</v>
      </c>
      <c r="O140" s="326" t="s">
        <v>286</v>
      </c>
      <c r="P140" s="326" t="s">
        <v>286</v>
      </c>
      <c r="Q140" s="326"/>
      <c r="R140" s="326"/>
      <c r="S140" s="326" t="s">
        <v>286</v>
      </c>
      <c r="T140" s="326" t="s">
        <v>286</v>
      </c>
    </row>
    <row r="141" spans="1:20" s="283" customFormat="1" ht="31.5" x14ac:dyDescent="0.25">
      <c r="A141" s="289" t="s">
        <v>812</v>
      </c>
      <c r="B141" s="269" t="s">
        <v>817</v>
      </c>
      <c r="C141" s="288" t="s">
        <v>748</v>
      </c>
      <c r="D141" s="305" t="s">
        <v>286</v>
      </c>
      <c r="E141" s="305" t="s">
        <v>286</v>
      </c>
      <c r="F141" s="305" t="s">
        <v>286</v>
      </c>
      <c r="G141" s="307" t="s">
        <v>286</v>
      </c>
      <c r="H141" s="307" t="s">
        <v>286</v>
      </c>
      <c r="I141" s="307" t="s">
        <v>286</v>
      </c>
      <c r="J141" s="307" t="s">
        <v>286</v>
      </c>
      <c r="K141" s="326" t="s">
        <v>286</v>
      </c>
      <c r="L141" s="307" t="s">
        <v>286</v>
      </c>
      <c r="M141" s="326" t="s">
        <v>286</v>
      </c>
      <c r="N141" s="326" t="s">
        <v>286</v>
      </c>
      <c r="O141" s="326" t="s">
        <v>286</v>
      </c>
      <c r="P141" s="326" t="s">
        <v>286</v>
      </c>
      <c r="Q141" s="326"/>
      <c r="R141" s="326"/>
      <c r="S141" s="326" t="s">
        <v>286</v>
      </c>
      <c r="T141" s="326" t="s">
        <v>286</v>
      </c>
    </row>
    <row r="142" spans="1:20" s="283" customFormat="1" x14ac:dyDescent="0.25">
      <c r="A142" s="289" t="s">
        <v>983</v>
      </c>
      <c r="B142" s="268" t="s">
        <v>818</v>
      </c>
      <c r="C142" s="288" t="s">
        <v>748</v>
      </c>
      <c r="D142" s="305" t="s">
        <v>286</v>
      </c>
      <c r="E142" s="305" t="s">
        <v>286</v>
      </c>
      <c r="F142" s="305" t="s">
        <v>286</v>
      </c>
      <c r="G142" s="307" t="s">
        <v>286</v>
      </c>
      <c r="H142" s="307" t="s">
        <v>286</v>
      </c>
      <c r="I142" s="307" t="s">
        <v>286</v>
      </c>
      <c r="J142" s="307" t="s">
        <v>286</v>
      </c>
      <c r="K142" s="326" t="s">
        <v>286</v>
      </c>
      <c r="L142" s="307" t="s">
        <v>286</v>
      </c>
      <c r="M142" s="326" t="s">
        <v>286</v>
      </c>
      <c r="N142" s="326" t="s">
        <v>286</v>
      </c>
      <c r="O142" s="326" t="s">
        <v>286</v>
      </c>
      <c r="P142" s="326" t="s">
        <v>286</v>
      </c>
      <c r="Q142" s="326"/>
      <c r="R142" s="326"/>
      <c r="S142" s="326" t="s">
        <v>286</v>
      </c>
      <c r="T142" s="326" t="s">
        <v>286</v>
      </c>
    </row>
    <row r="143" spans="1:20" s="283" customFormat="1" x14ac:dyDescent="0.25">
      <c r="A143" s="289" t="s">
        <v>984</v>
      </c>
      <c r="B143" s="268" t="s">
        <v>631</v>
      </c>
      <c r="C143" s="288" t="s">
        <v>748</v>
      </c>
      <c r="D143" s="305" t="s">
        <v>286</v>
      </c>
      <c r="E143" s="305" t="s">
        <v>286</v>
      </c>
      <c r="F143" s="305" t="s">
        <v>286</v>
      </c>
      <c r="G143" s="307" t="s">
        <v>286</v>
      </c>
      <c r="H143" s="307" t="s">
        <v>286</v>
      </c>
      <c r="I143" s="307" t="s">
        <v>286</v>
      </c>
      <c r="J143" s="307" t="s">
        <v>286</v>
      </c>
      <c r="K143" s="326" t="s">
        <v>286</v>
      </c>
      <c r="L143" s="307" t="s">
        <v>286</v>
      </c>
      <c r="M143" s="326" t="s">
        <v>286</v>
      </c>
      <c r="N143" s="326" t="s">
        <v>286</v>
      </c>
      <c r="O143" s="326" t="s">
        <v>286</v>
      </c>
      <c r="P143" s="326" t="s">
        <v>286</v>
      </c>
      <c r="Q143" s="326"/>
      <c r="R143" s="326"/>
      <c r="S143" s="326" t="s">
        <v>286</v>
      </c>
      <c r="T143" s="326" t="s">
        <v>286</v>
      </c>
    </row>
    <row r="144" spans="1:20" s="283" customFormat="1" x14ac:dyDescent="0.25">
      <c r="A144" s="289" t="s">
        <v>813</v>
      </c>
      <c r="B144" s="269" t="s">
        <v>819</v>
      </c>
      <c r="C144" s="288" t="s">
        <v>748</v>
      </c>
      <c r="D144" s="305">
        <v>1.9029269999999998</v>
      </c>
      <c r="E144" s="305">
        <v>18.579999999999998</v>
      </c>
      <c r="F144" s="305">
        <v>25.25</v>
      </c>
      <c r="G144" s="307">
        <v>8.8339579999999565</v>
      </c>
      <c r="H144" s="307">
        <v>18.335077816358854</v>
      </c>
      <c r="I144" s="307">
        <v>8.720235782426764</v>
      </c>
      <c r="J144" s="307">
        <f>J130-J136-J138</f>
        <v>38.574199999999998</v>
      </c>
      <c r="K144" s="326">
        <f>K129*0.2</f>
        <v>11.067798082603302</v>
      </c>
      <c r="L144" s="314">
        <v>6.7</v>
      </c>
      <c r="M144" s="326">
        <f>M129*0.25</f>
        <v>1.1625404897686362</v>
      </c>
      <c r="N144" s="326"/>
      <c r="O144" s="326">
        <f>O129*0.25</f>
        <v>5.3919760676121324</v>
      </c>
      <c r="P144" s="326"/>
      <c r="Q144" s="326">
        <f>Q129*0.25</f>
        <v>4.8953440208494188</v>
      </c>
      <c r="R144" s="326">
        <f>R129*0.25</f>
        <v>4.5413273155955096</v>
      </c>
      <c r="S144" s="326">
        <f t="shared" ref="S144:S145" si="53">G144+I144+K144+O144+M144</f>
        <v>35.176508422410798</v>
      </c>
      <c r="T144" s="326"/>
    </row>
    <row r="145" spans="1:20" s="283" customFormat="1" x14ac:dyDescent="0.25">
      <c r="A145" s="298" t="s">
        <v>31</v>
      </c>
      <c r="B145" s="299" t="s">
        <v>1060</v>
      </c>
      <c r="C145" s="300" t="s">
        <v>748</v>
      </c>
      <c r="D145" s="300">
        <v>38.83</v>
      </c>
      <c r="E145" s="303">
        <v>39.979999999999997</v>
      </c>
      <c r="F145" s="303">
        <v>113.91</v>
      </c>
      <c r="G145" s="327">
        <f>G115-G130</f>
        <v>48.929431999999714</v>
      </c>
      <c r="H145" s="327">
        <f>H115-H130</f>
        <v>140.48600999999982</v>
      </c>
      <c r="I145" s="327">
        <f>I115-I130</f>
        <v>51.931015999999929</v>
      </c>
      <c r="J145" s="327">
        <f>J115-J130</f>
        <v>171.25710000000026</v>
      </c>
      <c r="K145" s="327">
        <f>K115-K130</f>
        <v>64.887199999999666</v>
      </c>
      <c r="L145" s="327">
        <f>L115-L130</f>
        <v>169.99816999999993</v>
      </c>
      <c r="M145" s="327">
        <f>M115-M130</f>
        <v>49.79306249999987</v>
      </c>
      <c r="N145" s="327"/>
      <c r="O145" s="327">
        <f>O115-O130</f>
        <v>153.14379191250035</v>
      </c>
      <c r="P145" s="327"/>
      <c r="Q145" s="327">
        <f t="shared" ref="Q145:R145" si="54">Q115-Q130</f>
        <v>110.69953738091287</v>
      </c>
      <c r="R145" s="327">
        <f t="shared" si="54"/>
        <v>114.99305382162905</v>
      </c>
      <c r="S145" s="327">
        <f>G145+I145+K145+O145+M145</f>
        <v>368.68450241249951</v>
      </c>
      <c r="T145" s="327"/>
    </row>
    <row r="146" spans="1:20" s="283" customFormat="1" x14ac:dyDescent="0.25">
      <c r="A146" s="289" t="s">
        <v>47</v>
      </c>
      <c r="B146" s="266" t="s">
        <v>1007</v>
      </c>
      <c r="C146" s="288" t="s">
        <v>748</v>
      </c>
      <c r="D146" s="305" t="s">
        <v>286</v>
      </c>
      <c r="E146" s="305" t="s">
        <v>286</v>
      </c>
      <c r="F146" s="305" t="s">
        <v>286</v>
      </c>
      <c r="G146" s="307" t="s">
        <v>286</v>
      </c>
      <c r="H146" s="307" t="s">
        <v>286</v>
      </c>
      <c r="I146" s="307" t="s">
        <v>286</v>
      </c>
      <c r="J146" s="307" t="s">
        <v>286</v>
      </c>
      <c r="K146" s="326" t="s">
        <v>286</v>
      </c>
      <c r="L146" s="307" t="s">
        <v>286</v>
      </c>
      <c r="M146" s="326" t="s">
        <v>286</v>
      </c>
      <c r="N146" s="326" t="s">
        <v>286</v>
      </c>
      <c r="O146" s="326" t="s">
        <v>286</v>
      </c>
      <c r="P146" s="326" t="s">
        <v>286</v>
      </c>
      <c r="Q146" s="326"/>
      <c r="R146" s="326"/>
      <c r="S146" s="326" t="s">
        <v>286</v>
      </c>
      <c r="T146" s="326" t="s">
        <v>286</v>
      </c>
    </row>
    <row r="147" spans="1:20" s="283" customFormat="1" ht="31.5" x14ac:dyDescent="0.25">
      <c r="A147" s="289" t="s">
        <v>899</v>
      </c>
      <c r="B147" s="136" t="s">
        <v>897</v>
      </c>
      <c r="C147" s="288" t="s">
        <v>748</v>
      </c>
      <c r="D147" s="305" t="s">
        <v>286</v>
      </c>
      <c r="E147" s="305" t="s">
        <v>286</v>
      </c>
      <c r="F147" s="305" t="s">
        <v>286</v>
      </c>
      <c r="G147" s="307" t="s">
        <v>286</v>
      </c>
      <c r="H147" s="307" t="s">
        <v>286</v>
      </c>
      <c r="I147" s="307" t="s">
        <v>286</v>
      </c>
      <c r="J147" s="307" t="s">
        <v>286</v>
      </c>
      <c r="K147" s="326" t="s">
        <v>286</v>
      </c>
      <c r="L147" s="307" t="s">
        <v>286</v>
      </c>
      <c r="M147" s="326" t="s">
        <v>286</v>
      </c>
      <c r="N147" s="326" t="s">
        <v>286</v>
      </c>
      <c r="O147" s="326" t="s">
        <v>286</v>
      </c>
      <c r="P147" s="326" t="s">
        <v>286</v>
      </c>
      <c r="Q147" s="326"/>
      <c r="R147" s="326"/>
      <c r="S147" s="326" t="s">
        <v>286</v>
      </c>
      <c r="T147" s="326" t="s">
        <v>286</v>
      </c>
    </row>
    <row r="148" spans="1:20" s="283" customFormat="1" ht="31.5" x14ac:dyDescent="0.25">
      <c r="A148" s="289" t="s">
        <v>900</v>
      </c>
      <c r="B148" s="136" t="s">
        <v>898</v>
      </c>
      <c r="C148" s="288" t="s">
        <v>748</v>
      </c>
      <c r="D148" s="305" t="s">
        <v>286</v>
      </c>
      <c r="E148" s="305" t="s">
        <v>286</v>
      </c>
      <c r="F148" s="305" t="s">
        <v>286</v>
      </c>
      <c r="G148" s="307" t="s">
        <v>286</v>
      </c>
      <c r="H148" s="307" t="s">
        <v>286</v>
      </c>
      <c r="I148" s="307" t="s">
        <v>286</v>
      </c>
      <c r="J148" s="307" t="s">
        <v>286</v>
      </c>
      <c r="K148" s="326" t="s">
        <v>286</v>
      </c>
      <c r="L148" s="307" t="s">
        <v>286</v>
      </c>
      <c r="M148" s="326" t="s">
        <v>286</v>
      </c>
      <c r="N148" s="326" t="s">
        <v>286</v>
      </c>
      <c r="O148" s="326" t="s">
        <v>286</v>
      </c>
      <c r="P148" s="326" t="s">
        <v>286</v>
      </c>
      <c r="Q148" s="326"/>
      <c r="R148" s="326"/>
      <c r="S148" s="326" t="s">
        <v>286</v>
      </c>
      <c r="T148" s="326" t="s">
        <v>286</v>
      </c>
    </row>
    <row r="149" spans="1:20" s="283" customFormat="1" ht="31.5" x14ac:dyDescent="0.25">
      <c r="A149" s="289" t="s">
        <v>985</v>
      </c>
      <c r="B149" s="136" t="s">
        <v>883</v>
      </c>
      <c r="C149" s="288" t="s">
        <v>748</v>
      </c>
      <c r="D149" s="305" t="s">
        <v>286</v>
      </c>
      <c r="E149" s="305" t="s">
        <v>286</v>
      </c>
      <c r="F149" s="305" t="s">
        <v>286</v>
      </c>
      <c r="G149" s="307" t="s">
        <v>286</v>
      </c>
      <c r="H149" s="307" t="s">
        <v>286</v>
      </c>
      <c r="I149" s="307" t="s">
        <v>286</v>
      </c>
      <c r="J149" s="307" t="s">
        <v>286</v>
      </c>
      <c r="K149" s="326" t="s">
        <v>286</v>
      </c>
      <c r="L149" s="307" t="s">
        <v>286</v>
      </c>
      <c r="M149" s="326" t="s">
        <v>286</v>
      </c>
      <c r="N149" s="326" t="s">
        <v>286</v>
      </c>
      <c r="O149" s="326" t="s">
        <v>286</v>
      </c>
      <c r="P149" s="326" t="s">
        <v>286</v>
      </c>
      <c r="Q149" s="326"/>
      <c r="R149" s="326"/>
      <c r="S149" s="326" t="s">
        <v>286</v>
      </c>
      <c r="T149" s="326" t="s">
        <v>286</v>
      </c>
    </row>
    <row r="150" spans="1:20" s="283" customFormat="1" x14ac:dyDescent="0.25">
      <c r="A150" s="289" t="s">
        <v>48</v>
      </c>
      <c r="B150" s="266" t="s">
        <v>1044</v>
      </c>
      <c r="C150" s="288" t="s">
        <v>748</v>
      </c>
      <c r="D150" s="305" t="s">
        <v>286</v>
      </c>
      <c r="E150" s="305" t="s">
        <v>286</v>
      </c>
      <c r="F150" s="305" t="s">
        <v>286</v>
      </c>
      <c r="G150" s="307" t="s">
        <v>286</v>
      </c>
      <c r="H150" s="307" t="s">
        <v>286</v>
      </c>
      <c r="I150" s="307" t="s">
        <v>286</v>
      </c>
      <c r="J150" s="307" t="s">
        <v>286</v>
      </c>
      <c r="K150" s="326" t="s">
        <v>286</v>
      </c>
      <c r="L150" s="307" t="s">
        <v>286</v>
      </c>
      <c r="M150" s="326" t="s">
        <v>286</v>
      </c>
      <c r="N150" s="326" t="s">
        <v>286</v>
      </c>
      <c r="O150" s="326" t="s">
        <v>286</v>
      </c>
      <c r="P150" s="326" t="s">
        <v>286</v>
      </c>
      <c r="Q150" s="326"/>
      <c r="R150" s="326"/>
      <c r="S150" s="326" t="s">
        <v>286</v>
      </c>
      <c r="T150" s="326" t="s">
        <v>286</v>
      </c>
    </row>
    <row r="151" spans="1:20" s="283" customFormat="1" x14ac:dyDescent="0.25">
      <c r="A151" s="289" t="s">
        <v>763</v>
      </c>
      <c r="B151" s="266" t="s">
        <v>937</v>
      </c>
      <c r="C151" s="288" t="s">
        <v>748</v>
      </c>
      <c r="D151" s="320">
        <v>35.327534</v>
      </c>
      <c r="E151" s="305">
        <v>20.2</v>
      </c>
      <c r="F151" s="305">
        <v>20.399999999999999</v>
      </c>
      <c r="G151" s="326">
        <f>G121-G136</f>
        <v>13.593599999999885</v>
      </c>
      <c r="H151" s="307">
        <v>36.999288734564587</v>
      </c>
      <c r="I151" s="307">
        <v>17.05007287029288</v>
      </c>
      <c r="J151" s="314">
        <v>36.65</v>
      </c>
      <c r="K151" s="326">
        <f>K121-K136</f>
        <v>20.616007669586462</v>
      </c>
      <c r="L151" s="307">
        <v>83.665489999999991</v>
      </c>
      <c r="M151" s="326">
        <f>M121-M136</f>
        <v>13.092319622635433</v>
      </c>
      <c r="N151" s="326"/>
      <c r="O151" s="326">
        <f>O121-O136</f>
        <v>90.48696600000018</v>
      </c>
      <c r="P151" s="326"/>
      <c r="Q151" s="326">
        <f>Q121-Q136</f>
        <v>95.869156206000071</v>
      </c>
      <c r="R151" s="326">
        <f>R121-R136</f>
        <v>101.46173024244607</v>
      </c>
      <c r="S151" s="326">
        <f>G151+I151+K151+O151+M151</f>
        <v>154.83896616251485</v>
      </c>
      <c r="T151" s="326"/>
    </row>
    <row r="152" spans="1:20" s="283" customFormat="1" x14ac:dyDescent="0.25">
      <c r="A152" s="289" t="s">
        <v>764</v>
      </c>
      <c r="B152" s="266" t="s">
        <v>1045</v>
      </c>
      <c r="C152" s="288" t="s">
        <v>748</v>
      </c>
      <c r="D152" s="320" t="s">
        <v>286</v>
      </c>
      <c r="E152" s="305" t="s">
        <v>286</v>
      </c>
      <c r="F152" s="305" t="s">
        <v>286</v>
      </c>
      <c r="G152" s="307"/>
      <c r="H152" s="307" t="s">
        <v>286</v>
      </c>
      <c r="I152" s="307"/>
      <c r="J152" s="314"/>
      <c r="K152" s="326"/>
      <c r="L152" s="307"/>
      <c r="M152" s="326"/>
      <c r="N152" s="326"/>
      <c r="O152" s="326"/>
      <c r="P152" s="326"/>
      <c r="Q152" s="326"/>
      <c r="R152" s="326"/>
      <c r="S152" s="326"/>
      <c r="T152" s="326"/>
    </row>
    <row r="153" spans="1:20" s="283" customFormat="1" x14ac:dyDescent="0.25">
      <c r="A153" s="289" t="s">
        <v>765</v>
      </c>
      <c r="B153" s="267" t="s">
        <v>938</v>
      </c>
      <c r="C153" s="288" t="s">
        <v>748</v>
      </c>
      <c r="D153" s="320">
        <v>0.52420500000000003</v>
      </c>
      <c r="E153" s="305">
        <v>0.56999999999999995</v>
      </c>
      <c r="F153" s="305">
        <v>15.08</v>
      </c>
      <c r="G153" s="307">
        <v>0</v>
      </c>
      <c r="H153" s="307">
        <v>0</v>
      </c>
      <c r="I153" s="307">
        <v>0</v>
      </c>
      <c r="J153" s="314">
        <v>53.15</v>
      </c>
      <c r="K153" s="326">
        <f>K123</f>
        <v>0</v>
      </c>
      <c r="L153" s="307">
        <v>58.934349999999995</v>
      </c>
      <c r="M153" s="326">
        <f>M123-M138</f>
        <v>33.213121408058527</v>
      </c>
      <c r="N153" s="326"/>
      <c r="O153" s="326">
        <f>O123-O138</f>
        <v>46.480897709663772</v>
      </c>
      <c r="P153" s="326"/>
      <c r="Q153" s="326">
        <f>Q123-Q138</f>
        <v>0.14434911236454495</v>
      </c>
      <c r="R153" s="326">
        <v>0</v>
      </c>
      <c r="S153" s="326">
        <f t="shared" ref="S153" si="55">G153+I153+K153+O153+M153</f>
        <v>79.694019117722291</v>
      </c>
      <c r="T153" s="326"/>
    </row>
    <row r="154" spans="1:20" s="283" customFormat="1" x14ac:dyDescent="0.25">
      <c r="A154" s="289" t="s">
        <v>766</v>
      </c>
      <c r="B154" s="266" t="s">
        <v>939</v>
      </c>
      <c r="C154" s="288" t="s">
        <v>748</v>
      </c>
      <c r="D154" s="305" t="s">
        <v>286</v>
      </c>
      <c r="E154" s="305" t="s">
        <v>286</v>
      </c>
      <c r="F154" s="305" t="s">
        <v>286</v>
      </c>
      <c r="G154" s="305" t="s">
        <v>286</v>
      </c>
      <c r="H154" s="307" t="s">
        <v>286</v>
      </c>
      <c r="I154" s="307" t="s">
        <v>286</v>
      </c>
      <c r="J154" s="307" t="s">
        <v>286</v>
      </c>
      <c r="K154" s="326" t="s">
        <v>286</v>
      </c>
      <c r="L154" s="307"/>
      <c r="M154" s="326" t="s">
        <v>286</v>
      </c>
      <c r="N154" s="326" t="s">
        <v>286</v>
      </c>
      <c r="O154" s="326" t="s">
        <v>286</v>
      </c>
      <c r="P154" s="326" t="s">
        <v>286</v>
      </c>
      <c r="Q154" s="326"/>
      <c r="R154" s="326"/>
      <c r="S154" s="326" t="s">
        <v>286</v>
      </c>
      <c r="T154" s="326" t="s">
        <v>286</v>
      </c>
    </row>
    <row r="155" spans="1:20" s="283" customFormat="1" x14ac:dyDescent="0.25">
      <c r="A155" s="289" t="s">
        <v>767</v>
      </c>
      <c r="B155" s="266" t="s">
        <v>1052</v>
      </c>
      <c r="C155" s="288" t="s">
        <v>748</v>
      </c>
      <c r="D155" s="305" t="s">
        <v>286</v>
      </c>
      <c r="E155" s="305" t="s">
        <v>286</v>
      </c>
      <c r="F155" s="305" t="s">
        <v>286</v>
      </c>
      <c r="G155" s="305" t="s">
        <v>286</v>
      </c>
      <c r="H155" s="307" t="s">
        <v>286</v>
      </c>
      <c r="I155" s="307" t="s">
        <v>286</v>
      </c>
      <c r="J155" s="307" t="s">
        <v>286</v>
      </c>
      <c r="K155" s="326" t="s">
        <v>286</v>
      </c>
      <c r="L155" s="307"/>
      <c r="M155" s="326" t="s">
        <v>286</v>
      </c>
      <c r="N155" s="326" t="s">
        <v>286</v>
      </c>
      <c r="O155" s="326" t="s">
        <v>286</v>
      </c>
      <c r="P155" s="326" t="s">
        <v>286</v>
      </c>
      <c r="Q155" s="326"/>
      <c r="R155" s="326"/>
      <c r="S155" s="326" t="s">
        <v>286</v>
      </c>
      <c r="T155" s="326" t="s">
        <v>286</v>
      </c>
    </row>
    <row r="156" spans="1:20" s="283" customFormat="1" ht="31.5" x14ac:dyDescent="0.25">
      <c r="A156" s="289" t="s">
        <v>768</v>
      </c>
      <c r="B156" s="267" t="s">
        <v>817</v>
      </c>
      <c r="C156" s="288" t="s">
        <v>748</v>
      </c>
      <c r="D156" s="305" t="s">
        <v>286</v>
      </c>
      <c r="E156" s="305" t="s">
        <v>286</v>
      </c>
      <c r="F156" s="305" t="s">
        <v>286</v>
      </c>
      <c r="G156" s="305" t="s">
        <v>286</v>
      </c>
      <c r="H156" s="307" t="s">
        <v>286</v>
      </c>
      <c r="I156" s="307" t="s">
        <v>286</v>
      </c>
      <c r="J156" s="307" t="s">
        <v>286</v>
      </c>
      <c r="K156" s="326" t="s">
        <v>286</v>
      </c>
      <c r="L156" s="307"/>
      <c r="M156" s="326" t="s">
        <v>286</v>
      </c>
      <c r="N156" s="326" t="s">
        <v>286</v>
      </c>
      <c r="O156" s="326" t="s">
        <v>286</v>
      </c>
      <c r="P156" s="326" t="s">
        <v>286</v>
      </c>
      <c r="Q156" s="326"/>
      <c r="R156" s="326"/>
      <c r="S156" s="326" t="s">
        <v>286</v>
      </c>
      <c r="T156" s="326" t="s">
        <v>286</v>
      </c>
    </row>
    <row r="157" spans="1:20" s="283" customFormat="1" x14ac:dyDescent="0.25">
      <c r="A157" s="289" t="s">
        <v>986</v>
      </c>
      <c r="B157" s="268" t="s">
        <v>643</v>
      </c>
      <c r="C157" s="288" t="s">
        <v>748</v>
      </c>
      <c r="D157" s="305" t="s">
        <v>286</v>
      </c>
      <c r="E157" s="305" t="s">
        <v>286</v>
      </c>
      <c r="F157" s="305" t="s">
        <v>286</v>
      </c>
      <c r="G157" s="305" t="s">
        <v>286</v>
      </c>
      <c r="H157" s="307" t="s">
        <v>286</v>
      </c>
      <c r="I157" s="307" t="s">
        <v>286</v>
      </c>
      <c r="J157" s="307" t="s">
        <v>286</v>
      </c>
      <c r="K157" s="307" t="s">
        <v>286</v>
      </c>
      <c r="L157" s="307"/>
      <c r="M157" s="326" t="s">
        <v>286</v>
      </c>
      <c r="N157" s="326" t="s">
        <v>286</v>
      </c>
      <c r="O157" s="326" t="s">
        <v>286</v>
      </c>
      <c r="P157" s="326" t="s">
        <v>286</v>
      </c>
      <c r="Q157" s="326"/>
      <c r="R157" s="326"/>
      <c r="S157" s="326" t="s">
        <v>286</v>
      </c>
      <c r="T157" s="326" t="s">
        <v>286</v>
      </c>
    </row>
    <row r="158" spans="1:20" s="283" customFormat="1" x14ac:dyDescent="0.25">
      <c r="A158" s="289" t="s">
        <v>987</v>
      </c>
      <c r="B158" s="268" t="s">
        <v>631</v>
      </c>
      <c r="C158" s="288" t="s">
        <v>748</v>
      </c>
      <c r="D158" s="305" t="s">
        <v>286</v>
      </c>
      <c r="E158" s="305" t="s">
        <v>286</v>
      </c>
      <c r="F158" s="305" t="s">
        <v>286</v>
      </c>
      <c r="G158" s="305" t="s">
        <v>286</v>
      </c>
      <c r="H158" s="307" t="s">
        <v>286</v>
      </c>
      <c r="I158" s="307" t="s">
        <v>286</v>
      </c>
      <c r="J158" s="307" t="s">
        <v>286</v>
      </c>
      <c r="K158" s="307" t="s">
        <v>286</v>
      </c>
      <c r="L158" s="307"/>
      <c r="M158" s="326" t="s">
        <v>286</v>
      </c>
      <c r="N158" s="326" t="s">
        <v>286</v>
      </c>
      <c r="O158" s="326" t="s">
        <v>286</v>
      </c>
      <c r="P158" s="326" t="s">
        <v>286</v>
      </c>
      <c r="Q158" s="326"/>
      <c r="R158" s="326"/>
      <c r="S158" s="326" t="s">
        <v>286</v>
      </c>
      <c r="T158" s="326" t="s">
        <v>286</v>
      </c>
    </row>
    <row r="159" spans="1:20" s="283" customFormat="1" x14ac:dyDescent="0.25">
      <c r="A159" s="289" t="s">
        <v>769</v>
      </c>
      <c r="B159" s="266" t="s">
        <v>940</v>
      </c>
      <c r="C159" s="288" t="s">
        <v>748</v>
      </c>
      <c r="D159" s="323">
        <v>2.978260999999998</v>
      </c>
      <c r="E159" s="320">
        <v>19.21</v>
      </c>
      <c r="F159" s="320">
        <v>78.430000000000007</v>
      </c>
      <c r="G159" s="326">
        <f>G145-G151</f>
        <v>35.335831999999826</v>
      </c>
      <c r="H159" s="326">
        <f>H145-H151</f>
        <v>103.48672126543524</v>
      </c>
      <c r="I159" s="307">
        <v>34.880943129707056</v>
      </c>
      <c r="J159" s="314">
        <v>91.54</v>
      </c>
      <c r="K159" s="326">
        <f>K129-K144</f>
        <v>44.2711923304132</v>
      </c>
      <c r="L159" s="307">
        <v>27.397569999999934</v>
      </c>
      <c r="M159" s="326">
        <f>M145-M151-M153</f>
        <v>3.4876214693059069</v>
      </c>
      <c r="N159" s="326"/>
      <c r="O159" s="413">
        <f>O129-O144</f>
        <v>16.175928202836396</v>
      </c>
      <c r="P159" s="413"/>
      <c r="Q159" s="413">
        <f>Q145-Q151</f>
        <v>14.830381174912802</v>
      </c>
      <c r="R159" s="413">
        <f>R145-R151</f>
        <v>13.531323579182981</v>
      </c>
      <c r="S159" s="326">
        <f>G159+I159+K159+O159+M159</f>
        <v>134.1515171322624</v>
      </c>
      <c r="T159" s="326"/>
    </row>
    <row r="160" spans="1:20" s="283" customFormat="1" x14ac:dyDescent="0.25">
      <c r="A160" s="298" t="s">
        <v>32</v>
      </c>
      <c r="B160" s="299" t="s">
        <v>11</v>
      </c>
      <c r="C160" s="300" t="s">
        <v>748</v>
      </c>
      <c r="D160" s="300">
        <v>38.83</v>
      </c>
      <c r="E160" s="303">
        <v>39.979999999999997</v>
      </c>
      <c r="F160" s="303">
        <v>113.91</v>
      </c>
      <c r="G160" s="308">
        <v>48.929431999999714</v>
      </c>
      <c r="H160" s="308">
        <v>130.53960999999984</v>
      </c>
      <c r="I160" s="308">
        <v>51.931015999999929</v>
      </c>
      <c r="J160" s="325">
        <f>J145</f>
        <v>171.25710000000026</v>
      </c>
      <c r="K160" s="327">
        <f>K145</f>
        <v>64.887199999999666</v>
      </c>
      <c r="L160" s="327">
        <f>L145</f>
        <v>169.99816999999993</v>
      </c>
      <c r="M160" s="327">
        <f>M145</f>
        <v>49.79306249999987</v>
      </c>
      <c r="N160" s="327"/>
      <c r="O160" s="327">
        <f>O145</f>
        <v>153.14379191250035</v>
      </c>
      <c r="P160" s="327"/>
      <c r="Q160" s="327">
        <f>Q145</f>
        <v>110.69953738091287</v>
      </c>
      <c r="R160" s="327">
        <f>R145</f>
        <v>114.99305382162905</v>
      </c>
      <c r="S160" s="327">
        <f t="shared" ref="S159:S161" si="56">G160+I160+K160+O160+M160</f>
        <v>368.68450241249951</v>
      </c>
      <c r="T160" s="327"/>
    </row>
    <row r="161" spans="1:20" s="283" customFormat="1" x14ac:dyDescent="0.25">
      <c r="A161" s="289" t="s">
        <v>50</v>
      </c>
      <c r="B161" s="269" t="s">
        <v>821</v>
      </c>
      <c r="C161" s="288" t="s">
        <v>748</v>
      </c>
      <c r="D161" s="288">
        <v>36.24</v>
      </c>
      <c r="E161" s="305">
        <v>39.450000000000003</v>
      </c>
      <c r="F161" s="305">
        <v>41.23</v>
      </c>
      <c r="G161" s="307">
        <v>48.929431999999714</v>
      </c>
      <c r="H161" s="307">
        <v>130.53960999999984</v>
      </c>
      <c r="I161" s="307">
        <v>51.931015999999929</v>
      </c>
      <c r="J161" s="314">
        <f>J160</f>
        <v>171.25710000000026</v>
      </c>
      <c r="K161" s="326">
        <f>K160</f>
        <v>64.887199999999666</v>
      </c>
      <c r="L161" s="307">
        <v>167.86</v>
      </c>
      <c r="M161" s="326">
        <f>M160-M163</f>
        <v>47.393062499999871</v>
      </c>
      <c r="N161" s="326"/>
      <c r="O161" s="413">
        <f>O160</f>
        <v>153.14379191250035</v>
      </c>
      <c r="P161" s="326"/>
      <c r="Q161" s="326">
        <f>Q145</f>
        <v>110.69953738091287</v>
      </c>
      <c r="R161" s="326">
        <f>R160</f>
        <v>114.99305382162905</v>
      </c>
      <c r="S161" s="326">
        <f t="shared" si="56"/>
        <v>366.28450241249953</v>
      </c>
      <c r="T161" s="326"/>
    </row>
    <row r="162" spans="1:20" s="283" customFormat="1" x14ac:dyDescent="0.25">
      <c r="A162" s="289" t="s">
        <v>51</v>
      </c>
      <c r="B162" s="269" t="s">
        <v>13</v>
      </c>
      <c r="C162" s="288" t="s">
        <v>748</v>
      </c>
      <c r="D162" s="288"/>
      <c r="E162" s="305" t="s">
        <v>286</v>
      </c>
      <c r="F162" s="305" t="s">
        <v>286</v>
      </c>
      <c r="G162" s="307" t="s">
        <v>286</v>
      </c>
      <c r="H162" s="307" t="s">
        <v>286</v>
      </c>
      <c r="I162" s="307" t="s">
        <v>286</v>
      </c>
      <c r="J162" s="307" t="s">
        <v>286</v>
      </c>
      <c r="K162" s="307" t="s">
        <v>286</v>
      </c>
      <c r="L162" s="307" t="s">
        <v>286</v>
      </c>
      <c r="M162" s="326" t="s">
        <v>286</v>
      </c>
      <c r="N162" s="326" t="s">
        <v>286</v>
      </c>
      <c r="O162" s="326" t="s">
        <v>286</v>
      </c>
      <c r="P162" s="326" t="s">
        <v>286</v>
      </c>
      <c r="Q162" s="326"/>
      <c r="R162" s="326"/>
      <c r="S162" s="326" t="s">
        <v>286</v>
      </c>
      <c r="T162" s="326" t="s">
        <v>286</v>
      </c>
    </row>
    <row r="163" spans="1:20" s="285" customFormat="1" x14ac:dyDescent="0.25">
      <c r="A163" s="289" t="s">
        <v>63</v>
      </c>
      <c r="B163" s="269" t="s">
        <v>14</v>
      </c>
      <c r="C163" s="288" t="s">
        <v>748</v>
      </c>
      <c r="D163" s="288"/>
      <c r="E163" s="305" t="s">
        <v>286</v>
      </c>
      <c r="F163" s="305" t="s">
        <v>286</v>
      </c>
      <c r="G163" s="307" t="s">
        <v>286</v>
      </c>
      <c r="H163" s="307" t="s">
        <v>286</v>
      </c>
      <c r="I163" s="307" t="s">
        <v>286</v>
      </c>
      <c r="J163" s="307" t="s">
        <v>286</v>
      </c>
      <c r="K163" s="307" t="s">
        <v>286</v>
      </c>
      <c r="L163" s="307">
        <v>2.14</v>
      </c>
      <c r="M163" s="413">
        <v>2.4</v>
      </c>
      <c r="N163" s="326" t="s">
        <v>286</v>
      </c>
      <c r="O163" s="326" t="s">
        <v>286</v>
      </c>
      <c r="P163" s="326" t="s">
        <v>286</v>
      </c>
      <c r="Q163" s="326"/>
      <c r="R163" s="326"/>
      <c r="S163" s="326" t="s">
        <v>286</v>
      </c>
      <c r="T163" s="326" t="s">
        <v>286</v>
      </c>
    </row>
    <row r="164" spans="1:20" s="283" customFormat="1" ht="18" customHeight="1" x14ac:dyDescent="0.25">
      <c r="A164" s="289" t="s">
        <v>1106</v>
      </c>
      <c r="B164" s="269" t="s">
        <v>822</v>
      </c>
      <c r="C164" s="288" t="s">
        <v>748</v>
      </c>
      <c r="D164" s="288">
        <v>2.5899999999999963</v>
      </c>
      <c r="E164" s="305">
        <v>0.53</v>
      </c>
      <c r="F164" s="305">
        <v>72.680000000000007</v>
      </c>
      <c r="G164" s="307" t="s">
        <v>286</v>
      </c>
      <c r="H164" s="307" t="s">
        <v>286</v>
      </c>
      <c r="I164" s="307" t="s">
        <v>286</v>
      </c>
      <c r="J164" s="307" t="s">
        <v>286</v>
      </c>
      <c r="K164" s="307" t="s">
        <v>286</v>
      </c>
      <c r="L164" s="307" t="s">
        <v>286</v>
      </c>
      <c r="M164" s="326" t="s">
        <v>286</v>
      </c>
      <c r="N164" s="326" t="s">
        <v>286</v>
      </c>
      <c r="O164" s="326" t="s">
        <v>286</v>
      </c>
      <c r="P164" s="326" t="s">
        <v>286</v>
      </c>
      <c r="Q164" s="326"/>
      <c r="R164" s="326"/>
      <c r="S164" s="326" t="s">
        <v>286</v>
      </c>
      <c r="T164" s="326" t="s">
        <v>286</v>
      </c>
    </row>
    <row r="165" spans="1:20" s="291" customFormat="1" ht="18" customHeight="1" x14ac:dyDescent="0.25">
      <c r="A165" s="298" t="s">
        <v>531</v>
      </c>
      <c r="B165" s="299" t="s">
        <v>863</v>
      </c>
      <c r="C165" s="300" t="s">
        <v>286</v>
      </c>
      <c r="D165" s="325" t="s">
        <v>590</v>
      </c>
      <c r="E165" s="325" t="s">
        <v>590</v>
      </c>
      <c r="F165" s="325" t="s">
        <v>590</v>
      </c>
      <c r="G165" s="325" t="s">
        <v>590</v>
      </c>
      <c r="H165" s="302" t="s">
        <v>590</v>
      </c>
      <c r="I165" s="302" t="s">
        <v>590</v>
      </c>
      <c r="J165" s="363" t="s">
        <v>590</v>
      </c>
      <c r="K165" s="325" t="s">
        <v>590</v>
      </c>
      <c r="L165" s="325" t="s">
        <v>590</v>
      </c>
      <c r="M165" s="327" t="s">
        <v>590</v>
      </c>
      <c r="N165" s="327" t="s">
        <v>590</v>
      </c>
      <c r="O165" s="327" t="s">
        <v>590</v>
      </c>
      <c r="P165" s="327" t="s">
        <v>590</v>
      </c>
      <c r="Q165" s="327"/>
      <c r="R165" s="327"/>
      <c r="S165" s="327" t="s">
        <v>590</v>
      </c>
      <c r="T165" s="327" t="s">
        <v>590</v>
      </c>
    </row>
    <row r="166" spans="1:20" s="283" customFormat="1" ht="37.5" customHeight="1" x14ac:dyDescent="0.25">
      <c r="A166" s="289" t="s">
        <v>532</v>
      </c>
      <c r="B166" s="269" t="s">
        <v>1146</v>
      </c>
      <c r="C166" s="288" t="s">
        <v>748</v>
      </c>
      <c r="D166" s="315">
        <v>173.07999999999998</v>
      </c>
      <c r="E166" s="320">
        <v>179.95</v>
      </c>
      <c r="F166" s="320">
        <v>265.07</v>
      </c>
      <c r="G166" s="321">
        <v>182.56</v>
      </c>
      <c r="H166" s="307">
        <v>315.48469999999986</v>
      </c>
      <c r="I166" s="307">
        <v>189.04435999999993</v>
      </c>
      <c r="J166" s="307">
        <f>J115+J107+J64</f>
        <v>388.92210000000023</v>
      </c>
      <c r="K166" s="307">
        <f>K115+K107+K64</f>
        <v>270.82265999999959</v>
      </c>
      <c r="L166" s="307">
        <v>402.78161999999998</v>
      </c>
      <c r="M166" s="307">
        <f>M115+M107+M64</f>
        <v>289.96671999999978</v>
      </c>
      <c r="N166" s="307" t="s">
        <v>286</v>
      </c>
      <c r="O166" s="307">
        <f>O115+O107+O64</f>
        <v>411.85252255000046</v>
      </c>
      <c r="P166" s="307" t="s">
        <v>286</v>
      </c>
      <c r="Q166" s="307">
        <f>Q115+Q107+Q64</f>
        <v>361.46592317455048</v>
      </c>
      <c r="R166" s="307">
        <f>R115+R107+R64</f>
        <v>373.69538784870656</v>
      </c>
      <c r="S166" s="326">
        <f t="shared" ref="S166" si="57">G166+I166+K166+O166+M166</f>
        <v>1344.2462625499998</v>
      </c>
      <c r="T166" s="307" t="s">
        <v>286</v>
      </c>
    </row>
    <row r="167" spans="1:20" s="283" customFormat="1" ht="18" customHeight="1" x14ac:dyDescent="0.25">
      <c r="A167" s="289" t="s">
        <v>533</v>
      </c>
      <c r="B167" s="269" t="s">
        <v>1017</v>
      </c>
      <c r="C167" s="288" t="s">
        <v>748</v>
      </c>
      <c r="D167" s="323">
        <v>230</v>
      </c>
      <c r="E167" s="326">
        <v>277</v>
      </c>
      <c r="F167" s="326">
        <v>257.39999999999998</v>
      </c>
      <c r="G167" s="326">
        <v>276.8</v>
      </c>
      <c r="H167" s="307">
        <v>276.8</v>
      </c>
      <c r="I167" s="307">
        <v>340</v>
      </c>
      <c r="J167" s="307">
        <v>340</v>
      </c>
      <c r="K167" s="307">
        <f>J169</f>
        <v>319.5</v>
      </c>
      <c r="L167" s="307">
        <v>319.5</v>
      </c>
      <c r="M167" s="307">
        <f>L169</f>
        <v>369</v>
      </c>
      <c r="N167" s="307" t="s">
        <v>286</v>
      </c>
      <c r="O167" s="307">
        <f>M169</f>
        <v>365.70000000000005</v>
      </c>
      <c r="P167" s="307" t="s">
        <v>286</v>
      </c>
      <c r="Q167" s="307">
        <f>O169</f>
        <v>352.40000000000009</v>
      </c>
      <c r="R167" s="307">
        <f>Q169</f>
        <v>367.40000000000009</v>
      </c>
      <c r="S167" s="326">
        <f t="shared" ref="S167:S170" si="58">G167+I167+K167+O167+M167</f>
        <v>1671</v>
      </c>
      <c r="T167" s="307" t="s">
        <v>286</v>
      </c>
    </row>
    <row r="168" spans="1:20" s="283" customFormat="1" ht="18" customHeight="1" x14ac:dyDescent="0.25">
      <c r="A168" s="289" t="s">
        <v>923</v>
      </c>
      <c r="B168" s="136" t="s">
        <v>944</v>
      </c>
      <c r="C168" s="288" t="s">
        <v>748</v>
      </c>
      <c r="D168" s="323">
        <v>230</v>
      </c>
      <c r="E168" s="326">
        <v>227</v>
      </c>
      <c r="F168" s="326">
        <v>257.39999999999998</v>
      </c>
      <c r="G168" s="326">
        <v>276.8</v>
      </c>
      <c r="H168" s="307">
        <v>276.8</v>
      </c>
      <c r="I168" s="307">
        <v>340</v>
      </c>
      <c r="J168" s="307">
        <v>340</v>
      </c>
      <c r="K168" s="307">
        <f>J170</f>
        <v>319.5</v>
      </c>
      <c r="L168" s="307">
        <v>319.5</v>
      </c>
      <c r="M168" s="307">
        <f>L170</f>
        <v>369</v>
      </c>
      <c r="N168" s="307" t="s">
        <v>286</v>
      </c>
      <c r="O168" s="307">
        <f>M170</f>
        <v>365.70000000000005</v>
      </c>
      <c r="P168" s="307" t="s">
        <v>286</v>
      </c>
      <c r="Q168" s="307">
        <f>O170</f>
        <v>352.40000000000009</v>
      </c>
      <c r="R168" s="307">
        <f>Q170</f>
        <v>367.40000000000009</v>
      </c>
      <c r="S168" s="326">
        <f t="shared" si="58"/>
        <v>1671</v>
      </c>
      <c r="T168" s="307" t="s">
        <v>286</v>
      </c>
    </row>
    <row r="169" spans="1:20" s="283" customFormat="1" ht="18" customHeight="1" x14ac:dyDescent="0.25">
      <c r="A169" s="289" t="s">
        <v>636</v>
      </c>
      <c r="B169" s="269" t="s">
        <v>1061</v>
      </c>
      <c r="C169" s="288" t="s">
        <v>748</v>
      </c>
      <c r="D169" s="323">
        <v>227</v>
      </c>
      <c r="E169" s="326">
        <v>257.39999999999998</v>
      </c>
      <c r="F169" s="326">
        <v>276.8</v>
      </c>
      <c r="G169" s="326">
        <v>291.8</v>
      </c>
      <c r="H169" s="307">
        <v>340</v>
      </c>
      <c r="I169" s="307">
        <v>470</v>
      </c>
      <c r="J169" s="307">
        <v>319.5</v>
      </c>
      <c r="K169" s="307">
        <v>450.5</v>
      </c>
      <c r="L169" s="307">
        <v>369</v>
      </c>
      <c r="M169" s="307">
        <f>M167-M242+M230</f>
        <v>365.70000000000005</v>
      </c>
      <c r="N169" s="307" t="s">
        <v>286</v>
      </c>
      <c r="O169" s="307">
        <f>O167-O242+O230</f>
        <v>352.40000000000009</v>
      </c>
      <c r="P169" s="307" t="s">
        <v>286</v>
      </c>
      <c r="Q169" s="307">
        <f>Q167-Q242+Q230</f>
        <v>367.40000000000009</v>
      </c>
      <c r="R169" s="307">
        <f>R167-R242+R230</f>
        <v>334.40000000000009</v>
      </c>
      <c r="S169" s="326">
        <f t="shared" si="58"/>
        <v>1930.4</v>
      </c>
      <c r="T169" s="307" t="s">
        <v>286</v>
      </c>
    </row>
    <row r="170" spans="1:20" s="283" customFormat="1" ht="18" customHeight="1" x14ac:dyDescent="0.25">
      <c r="A170" s="289" t="s">
        <v>924</v>
      </c>
      <c r="B170" s="136" t="s">
        <v>945</v>
      </c>
      <c r="C170" s="288" t="s">
        <v>748</v>
      </c>
      <c r="D170" s="323">
        <v>227</v>
      </c>
      <c r="E170" s="326">
        <v>257.39999999999998</v>
      </c>
      <c r="F170" s="326">
        <v>276.8</v>
      </c>
      <c r="G170" s="326">
        <v>291.8</v>
      </c>
      <c r="H170" s="307">
        <v>340</v>
      </c>
      <c r="I170" s="307">
        <v>470</v>
      </c>
      <c r="J170" s="307">
        <v>319.5</v>
      </c>
      <c r="K170" s="307">
        <v>450.5</v>
      </c>
      <c r="L170" s="307">
        <v>369</v>
      </c>
      <c r="M170" s="307">
        <f>M168-M243+M231</f>
        <v>365.70000000000005</v>
      </c>
      <c r="N170" s="307" t="s">
        <v>286</v>
      </c>
      <c r="O170" s="307">
        <f>O168-O243+O231</f>
        <v>352.40000000000009</v>
      </c>
      <c r="P170" s="307" t="s">
        <v>286</v>
      </c>
      <c r="Q170" s="307">
        <f>Q168-Q243+Q231</f>
        <v>367.40000000000009</v>
      </c>
      <c r="R170" s="307">
        <f>R168-R243+R231</f>
        <v>334.40000000000009</v>
      </c>
      <c r="S170" s="326">
        <f t="shared" si="58"/>
        <v>1930.4</v>
      </c>
      <c r="T170" s="307" t="s">
        <v>286</v>
      </c>
    </row>
    <row r="171" spans="1:20" s="283" customFormat="1" ht="32.25" thickBot="1" x14ac:dyDescent="0.3">
      <c r="A171" s="289" t="s">
        <v>637</v>
      </c>
      <c r="B171" s="269" t="s">
        <v>1145</v>
      </c>
      <c r="C171" s="288" t="s">
        <v>286</v>
      </c>
      <c r="D171" s="305">
        <v>1.3115322394268547</v>
      </c>
      <c r="E171" s="305">
        <v>1.43</v>
      </c>
      <c r="F171" s="305">
        <v>1.04</v>
      </c>
      <c r="G171" s="322">
        <f>G169/G166</f>
        <v>1.598378615249781</v>
      </c>
      <c r="H171" s="307">
        <v>1.0777067794412856</v>
      </c>
      <c r="I171" s="307">
        <v>2.4861889558620009</v>
      </c>
      <c r="J171" s="307">
        <f>J169/J166</f>
        <v>0.82150127236276826</v>
      </c>
      <c r="K171" s="307">
        <f>K169/K166</f>
        <v>1.6634501706762672</v>
      </c>
      <c r="L171" s="307">
        <v>0.91612919179380636</v>
      </c>
      <c r="M171" s="307">
        <f>M169/M166</f>
        <v>1.2611792139456566</v>
      </c>
      <c r="N171" s="307" t="s">
        <v>286</v>
      </c>
      <c r="O171" s="307">
        <f>O169/O166</f>
        <v>0.8556460886001187</v>
      </c>
      <c r="P171" s="307" t="s">
        <v>286</v>
      </c>
      <c r="Q171" s="307">
        <f>Q169/Q166</f>
        <v>1.0164166977991562</v>
      </c>
      <c r="R171" s="307">
        <f>R169/R166</f>
        <v>0.89484647355451041</v>
      </c>
      <c r="S171" s="307">
        <f>S169/S166</f>
        <v>1.4360463955005403</v>
      </c>
      <c r="T171" s="307" t="s">
        <v>286</v>
      </c>
    </row>
    <row r="172" spans="1:20" s="283" customFormat="1" ht="18.75" x14ac:dyDescent="0.25">
      <c r="A172" s="398" t="s">
        <v>1135</v>
      </c>
      <c r="B172" s="398"/>
      <c r="C172" s="398"/>
      <c r="D172" s="398"/>
      <c r="E172" s="398"/>
      <c r="F172" s="398"/>
      <c r="G172" s="398"/>
      <c r="H172" s="398"/>
      <c r="I172" s="398"/>
      <c r="J172" s="398"/>
      <c r="K172" s="398"/>
      <c r="L172" s="398"/>
      <c r="M172" s="398"/>
      <c r="N172" s="398"/>
      <c r="O172" s="398"/>
      <c r="P172" s="398"/>
      <c r="Q172" s="398"/>
      <c r="R172" s="398"/>
      <c r="S172" s="398"/>
      <c r="T172" s="398"/>
    </row>
    <row r="173" spans="1:20" s="283" customFormat="1" ht="22.9" customHeight="1" x14ac:dyDescent="0.25">
      <c r="A173" s="298" t="s">
        <v>534</v>
      </c>
      <c r="B173" s="299" t="s">
        <v>1018</v>
      </c>
      <c r="C173" s="300" t="s">
        <v>748</v>
      </c>
      <c r="D173" s="308">
        <f t="shared" ref="D173:H173" si="59">D179+D181+D190</f>
        <v>2171.19</v>
      </c>
      <c r="E173" s="308">
        <f t="shared" si="59"/>
        <v>2251.73</v>
      </c>
      <c r="F173" s="308">
        <f t="shared" si="59"/>
        <v>2560.1999999999998</v>
      </c>
      <c r="G173" s="308">
        <f t="shared" si="59"/>
        <v>2503.5288</v>
      </c>
      <c r="H173" s="308">
        <f t="shared" si="59"/>
        <v>2629.0371100000002</v>
      </c>
      <c r="I173" s="308">
        <f>I179+I181+I190</f>
        <v>2712.3710159999996</v>
      </c>
      <c r="J173" s="308">
        <f>J179+J181+J190</f>
        <v>2856.6619500000002</v>
      </c>
      <c r="K173" s="308">
        <f>K179+K181+K190</f>
        <v>2903.2263999999996</v>
      </c>
      <c r="L173" s="308">
        <f>L179+L181+L190</f>
        <v>3068.009</v>
      </c>
      <c r="M173" s="308">
        <f>M179+M181+M190</f>
        <v>3244.4046499999995</v>
      </c>
      <c r="N173" s="308"/>
      <c r="O173" s="308">
        <f>O179+O181+O190</f>
        <v>3528.9254784</v>
      </c>
      <c r="P173" s="308"/>
      <c r="Q173" s="308">
        <f>Q179+Q181+Q190</f>
        <v>3595.6543830143992</v>
      </c>
      <c r="R173" s="308">
        <f t="shared" ref="R173" si="60">R179+R181+R190</f>
        <v>3742.7210127179897</v>
      </c>
      <c r="S173" s="327">
        <f>G173+I173+K173+O173+M173</f>
        <v>14892.456344399998</v>
      </c>
      <c r="T173" s="308"/>
    </row>
    <row r="174" spans="1:20" s="283" customFormat="1" x14ac:dyDescent="0.25">
      <c r="A174" s="289" t="s">
        <v>535</v>
      </c>
      <c r="B174" s="266" t="s">
        <v>1007</v>
      </c>
      <c r="C174" s="288" t="s">
        <v>748</v>
      </c>
      <c r="D174" s="307" t="s">
        <v>286</v>
      </c>
      <c r="E174" s="307" t="s">
        <v>286</v>
      </c>
      <c r="F174" s="307" t="s">
        <v>286</v>
      </c>
      <c r="G174" s="307" t="s">
        <v>286</v>
      </c>
      <c r="H174" s="307" t="s">
        <v>286</v>
      </c>
      <c r="I174" s="307" t="s">
        <v>286</v>
      </c>
      <c r="J174" s="307" t="s">
        <v>286</v>
      </c>
      <c r="K174" s="307" t="s">
        <v>286</v>
      </c>
      <c r="L174" s="307" t="s">
        <v>286</v>
      </c>
      <c r="M174" s="307" t="s">
        <v>286</v>
      </c>
      <c r="N174" s="307" t="s">
        <v>286</v>
      </c>
      <c r="O174" s="307" t="s">
        <v>286</v>
      </c>
      <c r="P174" s="307" t="s">
        <v>286</v>
      </c>
      <c r="Q174" s="307"/>
      <c r="R174" s="307"/>
      <c r="S174" s="307" t="s">
        <v>286</v>
      </c>
      <c r="T174" s="307" t="s">
        <v>286</v>
      </c>
    </row>
    <row r="175" spans="1:20" s="283" customFormat="1" ht="31.5" x14ac:dyDescent="0.25">
      <c r="A175" s="289" t="s">
        <v>886</v>
      </c>
      <c r="B175" s="136" t="s">
        <v>897</v>
      </c>
      <c r="C175" s="288" t="s">
        <v>748</v>
      </c>
      <c r="D175" s="307" t="s">
        <v>286</v>
      </c>
      <c r="E175" s="307" t="s">
        <v>286</v>
      </c>
      <c r="F175" s="307" t="s">
        <v>286</v>
      </c>
      <c r="G175" s="307" t="s">
        <v>286</v>
      </c>
      <c r="H175" s="307" t="s">
        <v>286</v>
      </c>
      <c r="I175" s="307" t="s">
        <v>286</v>
      </c>
      <c r="J175" s="307" t="s">
        <v>286</v>
      </c>
      <c r="K175" s="307" t="s">
        <v>286</v>
      </c>
      <c r="L175" s="307" t="s">
        <v>286</v>
      </c>
      <c r="M175" s="307" t="s">
        <v>286</v>
      </c>
      <c r="N175" s="307" t="s">
        <v>286</v>
      </c>
      <c r="O175" s="307" t="s">
        <v>286</v>
      </c>
      <c r="P175" s="307" t="s">
        <v>286</v>
      </c>
      <c r="Q175" s="307"/>
      <c r="R175" s="307"/>
      <c r="S175" s="307" t="s">
        <v>286</v>
      </c>
      <c r="T175" s="307" t="s">
        <v>286</v>
      </c>
    </row>
    <row r="176" spans="1:20" s="283" customFormat="1" ht="31.5" x14ac:dyDescent="0.25">
      <c r="A176" s="289" t="s">
        <v>887</v>
      </c>
      <c r="B176" s="136" t="s">
        <v>898</v>
      </c>
      <c r="C176" s="288" t="s">
        <v>748</v>
      </c>
      <c r="D176" s="307" t="s">
        <v>286</v>
      </c>
      <c r="E176" s="307" t="s">
        <v>286</v>
      </c>
      <c r="F176" s="307" t="s">
        <v>286</v>
      </c>
      <c r="G176" s="307" t="s">
        <v>286</v>
      </c>
      <c r="H176" s="307" t="s">
        <v>286</v>
      </c>
      <c r="I176" s="307" t="s">
        <v>286</v>
      </c>
      <c r="J176" s="307" t="s">
        <v>286</v>
      </c>
      <c r="K176" s="307" t="s">
        <v>286</v>
      </c>
      <c r="L176" s="307" t="s">
        <v>286</v>
      </c>
      <c r="M176" s="307" t="s">
        <v>286</v>
      </c>
      <c r="N176" s="307" t="s">
        <v>286</v>
      </c>
      <c r="O176" s="307" t="s">
        <v>286</v>
      </c>
      <c r="P176" s="307" t="s">
        <v>286</v>
      </c>
      <c r="Q176" s="307"/>
      <c r="R176" s="307"/>
      <c r="S176" s="307" t="s">
        <v>286</v>
      </c>
      <c r="T176" s="307" t="s">
        <v>286</v>
      </c>
    </row>
    <row r="177" spans="1:26" s="283" customFormat="1" ht="31.5" x14ac:dyDescent="0.25">
      <c r="A177" s="289" t="s">
        <v>988</v>
      </c>
      <c r="B177" s="136" t="s">
        <v>883</v>
      </c>
      <c r="C177" s="288" t="s">
        <v>748</v>
      </c>
      <c r="D177" s="307" t="s">
        <v>286</v>
      </c>
      <c r="E177" s="307" t="s">
        <v>286</v>
      </c>
      <c r="F177" s="307" t="s">
        <v>286</v>
      </c>
      <c r="G177" s="307" t="s">
        <v>286</v>
      </c>
      <c r="H177" s="307" t="s">
        <v>286</v>
      </c>
      <c r="I177" s="307" t="s">
        <v>286</v>
      </c>
      <c r="J177" s="307" t="s">
        <v>286</v>
      </c>
      <c r="K177" s="307" t="s">
        <v>286</v>
      </c>
      <c r="L177" s="307" t="s">
        <v>286</v>
      </c>
      <c r="M177" s="307" t="s">
        <v>286</v>
      </c>
      <c r="N177" s="307" t="s">
        <v>286</v>
      </c>
      <c r="O177" s="307" t="s">
        <v>286</v>
      </c>
      <c r="P177" s="307" t="s">
        <v>286</v>
      </c>
      <c r="Q177" s="307"/>
      <c r="R177" s="307"/>
      <c r="S177" s="307" t="s">
        <v>286</v>
      </c>
      <c r="T177" s="307" t="s">
        <v>286</v>
      </c>
    </row>
    <row r="178" spans="1:26" s="283" customFormat="1" x14ac:dyDescent="0.25">
      <c r="A178" s="289" t="s">
        <v>536</v>
      </c>
      <c r="B178" s="266" t="s">
        <v>1044</v>
      </c>
      <c r="C178" s="288" t="s">
        <v>748</v>
      </c>
      <c r="D178" s="307" t="s">
        <v>286</v>
      </c>
      <c r="E178" s="307" t="s">
        <v>286</v>
      </c>
      <c r="F178" s="307" t="s">
        <v>286</v>
      </c>
      <c r="G178" s="307" t="s">
        <v>286</v>
      </c>
      <c r="H178" s="307" t="s">
        <v>286</v>
      </c>
      <c r="I178" s="307" t="s">
        <v>286</v>
      </c>
      <c r="J178" s="307" t="s">
        <v>286</v>
      </c>
      <c r="K178" s="307" t="s">
        <v>286</v>
      </c>
      <c r="L178" s="307" t="s">
        <v>286</v>
      </c>
      <c r="M178" s="307" t="s">
        <v>286</v>
      </c>
      <c r="N178" s="307" t="s">
        <v>286</v>
      </c>
      <c r="O178" s="307" t="s">
        <v>286</v>
      </c>
      <c r="P178" s="307" t="s">
        <v>286</v>
      </c>
      <c r="Q178" s="307"/>
      <c r="R178" s="307"/>
      <c r="S178" s="307" t="s">
        <v>286</v>
      </c>
      <c r="T178" s="307" t="s">
        <v>286</v>
      </c>
    </row>
    <row r="179" spans="1:26" s="283" customFormat="1" x14ac:dyDescent="0.25">
      <c r="A179" s="289" t="s">
        <v>648</v>
      </c>
      <c r="B179" s="266" t="s">
        <v>937</v>
      </c>
      <c r="C179" s="288" t="s">
        <v>748</v>
      </c>
      <c r="D179" s="305">
        <v>1957.71</v>
      </c>
      <c r="E179" s="305">
        <v>2005.35</v>
      </c>
      <c r="F179" s="307">
        <v>2124.6</v>
      </c>
      <c r="G179" s="307">
        <v>2164.4807999999998</v>
      </c>
      <c r="H179" s="307">
        <v>2166.61447</v>
      </c>
      <c r="I179" s="307">
        <f>I24*1.2</f>
        <v>2363.1067199999998</v>
      </c>
      <c r="J179" s="307">
        <v>2347.3204700000001</v>
      </c>
      <c r="K179" s="307">
        <f>K24*1.2</f>
        <v>2482.7855999999997</v>
      </c>
      <c r="L179" s="307">
        <v>2519.6489999999999</v>
      </c>
      <c r="M179" s="307">
        <v>2754.6696499999998</v>
      </c>
      <c r="N179" s="307" t="s">
        <v>286</v>
      </c>
      <c r="O179" s="307">
        <f>O24*1.2</f>
        <v>3018.3168000000001</v>
      </c>
      <c r="P179" s="307"/>
      <c r="Q179" s="307">
        <f>Q24*1.2</f>
        <v>3142.0677887999996</v>
      </c>
      <c r="R179" s="307">
        <f>R24*1.2</f>
        <v>3270.8925681407995</v>
      </c>
      <c r="S179" s="326">
        <f t="shared" ref="S179" si="61">G179+I179+K179+O179+M179</f>
        <v>12783.359569999999</v>
      </c>
      <c r="T179" s="307" t="s">
        <v>286</v>
      </c>
    </row>
    <row r="180" spans="1:26" s="283" customFormat="1" x14ac:dyDescent="0.25">
      <c r="A180" s="289" t="s">
        <v>770</v>
      </c>
      <c r="B180" s="266" t="s">
        <v>1045</v>
      </c>
      <c r="C180" s="288" t="s">
        <v>748</v>
      </c>
      <c r="D180" s="307" t="s">
        <v>286</v>
      </c>
      <c r="E180" s="307" t="s">
        <v>286</v>
      </c>
      <c r="F180" s="307" t="s">
        <v>286</v>
      </c>
      <c r="G180" s="307" t="s">
        <v>286</v>
      </c>
      <c r="H180" s="307" t="s">
        <v>286</v>
      </c>
      <c r="I180" s="307" t="s">
        <v>286</v>
      </c>
      <c r="J180" s="307" t="s">
        <v>286</v>
      </c>
      <c r="K180" s="307" t="s">
        <v>286</v>
      </c>
      <c r="L180" s="307"/>
      <c r="M180" s="307" t="s">
        <v>286</v>
      </c>
      <c r="N180" s="307" t="s">
        <v>286</v>
      </c>
      <c r="O180" s="307" t="s">
        <v>286</v>
      </c>
      <c r="P180" s="307" t="s">
        <v>286</v>
      </c>
      <c r="Q180" s="307"/>
      <c r="R180" s="307"/>
      <c r="S180" s="307" t="s">
        <v>286</v>
      </c>
      <c r="T180" s="307" t="s">
        <v>286</v>
      </c>
    </row>
    <row r="181" spans="1:26" s="283" customFormat="1" x14ac:dyDescent="0.25">
      <c r="A181" s="289" t="s">
        <v>771</v>
      </c>
      <c r="B181" s="266" t="s">
        <v>938</v>
      </c>
      <c r="C181" s="288" t="s">
        <v>748</v>
      </c>
      <c r="D181" s="305">
        <v>32.61</v>
      </c>
      <c r="E181" s="305">
        <v>39.22</v>
      </c>
      <c r="F181" s="307">
        <v>71.56</v>
      </c>
      <c r="G181" s="307">
        <v>53.304000000000002</v>
      </c>
      <c r="H181" s="307">
        <v>177.78620000000001</v>
      </c>
      <c r="I181" s="307">
        <f>I26*1.2</f>
        <v>38.276015999999998</v>
      </c>
      <c r="J181" s="307">
        <v>173.86515</v>
      </c>
      <c r="K181" s="307">
        <f>K26*1.2</f>
        <v>98.495999999999995</v>
      </c>
      <c r="L181" s="307">
        <v>128.435</v>
      </c>
      <c r="M181" s="307">
        <f>M26*1.2</f>
        <v>114.24</v>
      </c>
      <c r="N181" s="307" t="s">
        <v>286</v>
      </c>
      <c r="O181" s="307">
        <f>O26*1.2</f>
        <v>139.44</v>
      </c>
      <c r="P181" s="307" t="s">
        <v>286</v>
      </c>
      <c r="Q181" s="307">
        <f>Q26*1.2</f>
        <v>67.2</v>
      </c>
      <c r="R181" s="307">
        <f>R26*1.2</f>
        <v>69.599999999999994</v>
      </c>
      <c r="S181" s="326">
        <f>G181+I181+K181+O181+M181</f>
        <v>443.75601599999999</v>
      </c>
      <c r="T181" s="307" t="s">
        <v>286</v>
      </c>
    </row>
    <row r="182" spans="1:26" s="283" customFormat="1" x14ac:dyDescent="0.25">
      <c r="A182" s="289" t="s">
        <v>772</v>
      </c>
      <c r="B182" s="266" t="s">
        <v>939</v>
      </c>
      <c r="C182" s="288" t="s">
        <v>748</v>
      </c>
      <c r="D182" s="307" t="s">
        <v>286</v>
      </c>
      <c r="E182" s="307" t="s">
        <v>286</v>
      </c>
      <c r="F182" s="307" t="s">
        <v>286</v>
      </c>
      <c r="G182" s="307" t="s">
        <v>286</v>
      </c>
      <c r="H182" s="307" t="s">
        <v>286</v>
      </c>
      <c r="I182" s="307" t="s">
        <v>286</v>
      </c>
      <c r="J182" s="307" t="s">
        <v>286</v>
      </c>
      <c r="K182" s="307" t="s">
        <v>286</v>
      </c>
      <c r="L182" s="307" t="s">
        <v>286</v>
      </c>
      <c r="M182" s="307" t="s">
        <v>286</v>
      </c>
      <c r="N182" s="307" t="s">
        <v>286</v>
      </c>
      <c r="O182" s="307" t="s">
        <v>286</v>
      </c>
      <c r="P182" s="307" t="s">
        <v>286</v>
      </c>
      <c r="Q182" s="307"/>
      <c r="R182" s="307"/>
      <c r="S182" s="307" t="s">
        <v>286</v>
      </c>
      <c r="T182" s="307" t="s">
        <v>286</v>
      </c>
    </row>
    <row r="183" spans="1:26" s="283" customFormat="1" x14ac:dyDescent="0.25">
      <c r="A183" s="289" t="s">
        <v>773</v>
      </c>
      <c r="B183" s="266" t="s">
        <v>1052</v>
      </c>
      <c r="C183" s="288" t="s">
        <v>748</v>
      </c>
      <c r="D183" s="307" t="s">
        <v>286</v>
      </c>
      <c r="E183" s="307" t="s">
        <v>286</v>
      </c>
      <c r="F183" s="307" t="s">
        <v>286</v>
      </c>
      <c r="G183" s="307" t="s">
        <v>286</v>
      </c>
      <c r="H183" s="307" t="s">
        <v>286</v>
      </c>
      <c r="I183" s="307" t="s">
        <v>286</v>
      </c>
      <c r="J183" s="307" t="s">
        <v>286</v>
      </c>
      <c r="K183" s="307" t="s">
        <v>286</v>
      </c>
      <c r="L183" s="307" t="s">
        <v>286</v>
      </c>
      <c r="M183" s="307" t="s">
        <v>286</v>
      </c>
      <c r="N183" s="307" t="s">
        <v>286</v>
      </c>
      <c r="O183" s="307" t="s">
        <v>286</v>
      </c>
      <c r="P183" s="307" t="s">
        <v>286</v>
      </c>
      <c r="Q183" s="307"/>
      <c r="R183" s="307"/>
      <c r="S183" s="307" t="s">
        <v>286</v>
      </c>
      <c r="T183" s="307" t="s">
        <v>286</v>
      </c>
    </row>
    <row r="184" spans="1:26" s="283" customFormat="1" ht="31.5" x14ac:dyDescent="0.25">
      <c r="A184" s="289" t="s">
        <v>774</v>
      </c>
      <c r="B184" s="267" t="s">
        <v>817</v>
      </c>
      <c r="C184" s="288" t="s">
        <v>748</v>
      </c>
      <c r="D184" s="307" t="s">
        <v>286</v>
      </c>
      <c r="E184" s="307" t="s">
        <v>286</v>
      </c>
      <c r="F184" s="307" t="s">
        <v>286</v>
      </c>
      <c r="G184" s="307" t="s">
        <v>286</v>
      </c>
      <c r="H184" s="307" t="s">
        <v>286</v>
      </c>
      <c r="I184" s="307" t="s">
        <v>286</v>
      </c>
      <c r="J184" s="307" t="s">
        <v>286</v>
      </c>
      <c r="K184" s="307" t="s">
        <v>286</v>
      </c>
      <c r="L184" s="307" t="s">
        <v>286</v>
      </c>
      <c r="M184" s="307" t="s">
        <v>286</v>
      </c>
      <c r="N184" s="307" t="s">
        <v>286</v>
      </c>
      <c r="O184" s="307" t="s">
        <v>286</v>
      </c>
      <c r="P184" s="307" t="s">
        <v>286</v>
      </c>
      <c r="Q184" s="307"/>
      <c r="R184" s="307"/>
      <c r="S184" s="307" t="s">
        <v>286</v>
      </c>
      <c r="T184" s="307" t="s">
        <v>286</v>
      </c>
    </row>
    <row r="185" spans="1:26" s="283" customFormat="1" x14ac:dyDescent="0.25">
      <c r="A185" s="289" t="s">
        <v>989</v>
      </c>
      <c r="B185" s="268" t="s">
        <v>643</v>
      </c>
      <c r="C185" s="288" t="s">
        <v>748</v>
      </c>
      <c r="D185" s="307" t="s">
        <v>286</v>
      </c>
      <c r="E185" s="307" t="s">
        <v>286</v>
      </c>
      <c r="F185" s="307" t="s">
        <v>286</v>
      </c>
      <c r="G185" s="307" t="s">
        <v>286</v>
      </c>
      <c r="H185" s="307" t="s">
        <v>286</v>
      </c>
      <c r="I185" s="307" t="s">
        <v>286</v>
      </c>
      <c r="J185" s="307" t="s">
        <v>286</v>
      </c>
      <c r="K185" s="307" t="s">
        <v>286</v>
      </c>
      <c r="L185" s="307" t="s">
        <v>286</v>
      </c>
      <c r="M185" s="307" t="s">
        <v>286</v>
      </c>
      <c r="N185" s="307" t="s">
        <v>286</v>
      </c>
      <c r="O185" s="307" t="s">
        <v>286</v>
      </c>
      <c r="P185" s="307" t="s">
        <v>286</v>
      </c>
      <c r="Q185" s="307"/>
      <c r="R185" s="307"/>
      <c r="S185" s="307" t="s">
        <v>286</v>
      </c>
      <c r="T185" s="307" t="s">
        <v>286</v>
      </c>
    </row>
    <row r="186" spans="1:26" s="283" customFormat="1" x14ac:dyDescent="0.25">
      <c r="A186" s="289" t="s">
        <v>990</v>
      </c>
      <c r="B186" s="268" t="s">
        <v>631</v>
      </c>
      <c r="C186" s="288" t="s">
        <v>748</v>
      </c>
      <c r="D186" s="307" t="s">
        <v>286</v>
      </c>
      <c r="E186" s="307" t="s">
        <v>286</v>
      </c>
      <c r="F186" s="307" t="s">
        <v>286</v>
      </c>
      <c r="G186" s="307" t="s">
        <v>286</v>
      </c>
      <c r="H186" s="307" t="s">
        <v>286</v>
      </c>
      <c r="I186" s="307" t="s">
        <v>286</v>
      </c>
      <c r="J186" s="307" t="s">
        <v>286</v>
      </c>
      <c r="K186" s="307" t="s">
        <v>286</v>
      </c>
      <c r="L186" s="307" t="s">
        <v>286</v>
      </c>
      <c r="M186" s="307" t="s">
        <v>286</v>
      </c>
      <c r="N186" s="307" t="s">
        <v>286</v>
      </c>
      <c r="O186" s="307" t="s">
        <v>286</v>
      </c>
      <c r="P186" s="307" t="s">
        <v>286</v>
      </c>
      <c r="Q186" s="307"/>
      <c r="R186" s="307"/>
      <c r="S186" s="307" t="s">
        <v>286</v>
      </c>
      <c r="T186" s="307" t="s">
        <v>286</v>
      </c>
    </row>
    <row r="187" spans="1:26" s="283" customFormat="1" ht="31.5" x14ac:dyDescent="0.25">
      <c r="A187" s="289" t="s">
        <v>775</v>
      </c>
      <c r="B187" s="269" t="s">
        <v>1019</v>
      </c>
      <c r="C187" s="288" t="s">
        <v>748</v>
      </c>
      <c r="D187" s="307" t="s">
        <v>286</v>
      </c>
      <c r="E187" s="307" t="s">
        <v>286</v>
      </c>
      <c r="F187" s="307" t="s">
        <v>286</v>
      </c>
      <c r="G187" s="307" t="s">
        <v>286</v>
      </c>
      <c r="H187" s="307" t="s">
        <v>286</v>
      </c>
      <c r="I187" s="307" t="s">
        <v>286</v>
      </c>
      <c r="J187" s="307" t="s">
        <v>286</v>
      </c>
      <c r="K187" s="307" t="s">
        <v>286</v>
      </c>
      <c r="L187" s="307" t="s">
        <v>286</v>
      </c>
      <c r="M187" s="307" t="s">
        <v>286</v>
      </c>
      <c r="N187" s="307" t="s">
        <v>286</v>
      </c>
      <c r="O187" s="307" t="s">
        <v>286</v>
      </c>
      <c r="P187" s="307" t="s">
        <v>286</v>
      </c>
      <c r="Q187" s="307"/>
      <c r="R187" s="307"/>
      <c r="S187" s="307" t="s">
        <v>286</v>
      </c>
      <c r="T187" s="307" t="s">
        <v>286</v>
      </c>
    </row>
    <row r="188" spans="1:26" s="283" customFormat="1" x14ac:dyDescent="0.25">
      <c r="A188" s="289" t="s">
        <v>888</v>
      </c>
      <c r="B188" s="136" t="s">
        <v>921</v>
      </c>
      <c r="C188" s="288" t="s">
        <v>748</v>
      </c>
      <c r="D188" s="307" t="s">
        <v>286</v>
      </c>
      <c r="E188" s="307" t="s">
        <v>286</v>
      </c>
      <c r="F188" s="307" t="s">
        <v>286</v>
      </c>
      <c r="G188" s="307" t="s">
        <v>286</v>
      </c>
      <c r="H188" s="307" t="s">
        <v>286</v>
      </c>
      <c r="I188" s="307" t="s">
        <v>286</v>
      </c>
      <c r="J188" s="307" t="s">
        <v>286</v>
      </c>
      <c r="K188" s="307" t="s">
        <v>286</v>
      </c>
      <c r="L188" s="307" t="s">
        <v>286</v>
      </c>
      <c r="M188" s="307" t="s">
        <v>286</v>
      </c>
      <c r="N188" s="307" t="s">
        <v>286</v>
      </c>
      <c r="O188" s="307" t="s">
        <v>286</v>
      </c>
      <c r="P188" s="307" t="s">
        <v>286</v>
      </c>
      <c r="Q188" s="307"/>
      <c r="R188" s="307"/>
      <c r="S188" s="307" t="s">
        <v>286</v>
      </c>
      <c r="T188" s="307" t="s">
        <v>286</v>
      </c>
    </row>
    <row r="189" spans="1:26" s="283" customFormat="1" x14ac:dyDescent="0.25">
      <c r="A189" s="289" t="s">
        <v>889</v>
      </c>
      <c r="B189" s="136" t="s">
        <v>922</v>
      </c>
      <c r="C189" s="288" t="s">
        <v>748</v>
      </c>
      <c r="D189" s="307" t="s">
        <v>286</v>
      </c>
      <c r="E189" s="307" t="s">
        <v>286</v>
      </c>
      <c r="F189" s="307" t="s">
        <v>286</v>
      </c>
      <c r="G189" s="307" t="s">
        <v>286</v>
      </c>
      <c r="H189" s="307" t="s">
        <v>286</v>
      </c>
      <c r="I189" s="307" t="s">
        <v>286</v>
      </c>
      <c r="J189" s="307" t="s">
        <v>286</v>
      </c>
      <c r="K189" s="307" t="s">
        <v>286</v>
      </c>
      <c r="L189" s="307" t="s">
        <v>286</v>
      </c>
      <c r="M189" s="307" t="s">
        <v>286</v>
      </c>
      <c r="N189" s="307" t="s">
        <v>286</v>
      </c>
      <c r="O189" s="307" t="s">
        <v>286</v>
      </c>
      <c r="P189" s="307" t="s">
        <v>286</v>
      </c>
      <c r="Q189" s="307"/>
      <c r="R189" s="307"/>
      <c r="S189" s="307" t="s">
        <v>286</v>
      </c>
      <c r="T189" s="307" t="s">
        <v>286</v>
      </c>
    </row>
    <row r="190" spans="1:26" s="283" customFormat="1" x14ac:dyDescent="0.25">
      <c r="A190" s="289" t="s">
        <v>776</v>
      </c>
      <c r="B190" s="266" t="s">
        <v>940</v>
      </c>
      <c r="C190" s="288" t="s">
        <v>748</v>
      </c>
      <c r="D190" s="305">
        <v>180.87</v>
      </c>
      <c r="E190" s="305">
        <v>207.16</v>
      </c>
      <c r="F190" s="307">
        <v>364.04</v>
      </c>
      <c r="G190" s="307">
        <v>285.74399999999997</v>
      </c>
      <c r="H190" s="307">
        <v>284.63643999999999</v>
      </c>
      <c r="I190" s="307">
        <v>310.98827999999997</v>
      </c>
      <c r="J190" s="307">
        <v>335.47633000000002</v>
      </c>
      <c r="K190" s="307">
        <f>K32*1.2-3.59</f>
        <v>321.94479999999999</v>
      </c>
      <c r="L190" s="307">
        <v>419.92500000000001</v>
      </c>
      <c r="M190" s="307">
        <v>375.495</v>
      </c>
      <c r="N190" s="307" t="s">
        <v>286</v>
      </c>
      <c r="O190" s="307">
        <f>O32*1.2</f>
        <v>371.16867839999998</v>
      </c>
      <c r="P190" s="307" t="s">
        <v>286</v>
      </c>
      <c r="Q190" s="307">
        <f t="shared" ref="Q190:R190" si="62">Q32*1.2</f>
        <v>386.38659421439996</v>
      </c>
      <c r="R190" s="307">
        <f t="shared" si="62"/>
        <v>402.22844457719037</v>
      </c>
      <c r="S190" s="326">
        <f t="shared" ref="S190" si="63">G190+I190+K190+O190+M190</f>
        <v>1665.3407583999997</v>
      </c>
      <c r="T190" s="307" t="s">
        <v>286</v>
      </c>
    </row>
    <row r="191" spans="1:26" s="283" customFormat="1" x14ac:dyDescent="0.25">
      <c r="A191" s="298" t="s">
        <v>537</v>
      </c>
      <c r="B191" s="299" t="s">
        <v>1020</v>
      </c>
      <c r="C191" s="300" t="s">
        <v>748</v>
      </c>
      <c r="D191" s="303">
        <f>SUM(D192:D208)-D203-D196</f>
        <v>2048.79</v>
      </c>
      <c r="E191" s="303">
        <f>SUM(E192:E208)-E203-E196</f>
        <v>2150.69</v>
      </c>
      <c r="F191" s="303">
        <f t="shared" ref="F191" si="64">SUM(F192:F208)-F203</f>
        <v>3014.8557560000004</v>
      </c>
      <c r="G191" s="303">
        <f>SUM(G192:G208)-G203-G196</f>
        <v>2279.140402</v>
      </c>
      <c r="H191" s="303">
        <f>SUM(H192:H208)-H203-H196</f>
        <v>2421.6139999999991</v>
      </c>
      <c r="I191" s="303">
        <f>SUM(I192:I208)-I203-I196</f>
        <v>2528.620359999999</v>
      </c>
      <c r="J191" s="303">
        <f>SUM(J192:J208)-J203-J196</f>
        <v>2522.4300900000003</v>
      </c>
      <c r="K191" s="303">
        <f>SUM(K192:K208)-K203-K193</f>
        <v>2723.3100959999992</v>
      </c>
      <c r="L191" s="303">
        <v>2807.2129299999997</v>
      </c>
      <c r="M191" s="303">
        <f>SUM(M192:M208)-M203-M193</f>
        <v>3063.40171379</v>
      </c>
      <c r="N191" s="308"/>
      <c r="O191" s="303">
        <f>SUM(O192:O208)-O203-O193</f>
        <v>3181.39881874192</v>
      </c>
      <c r="P191" s="308"/>
      <c r="Q191" s="303">
        <f>SUM(Q192:Q208)-Q203-Q193</f>
        <v>3309.6977375103393</v>
      </c>
      <c r="R191" s="303">
        <f t="shared" ref="R191" si="65">SUM(R192:R208)-R203-R193</f>
        <v>3443.1794265722615</v>
      </c>
      <c r="S191" s="303">
        <f>SUM(S192:S208)-S203-S196</f>
        <v>13775.87139053192</v>
      </c>
      <c r="T191" s="308"/>
    </row>
    <row r="192" spans="1:26" s="283" customFormat="1" x14ac:dyDescent="0.25">
      <c r="A192" s="289" t="s">
        <v>538</v>
      </c>
      <c r="B192" s="269" t="s">
        <v>864</v>
      </c>
      <c r="C192" s="288" t="s">
        <v>748</v>
      </c>
      <c r="D192" s="307" t="s">
        <v>286</v>
      </c>
      <c r="E192" s="307" t="s">
        <v>286</v>
      </c>
      <c r="F192" s="307" t="s">
        <v>286</v>
      </c>
      <c r="G192" s="307" t="s">
        <v>286</v>
      </c>
      <c r="H192" s="307" t="s">
        <v>286</v>
      </c>
      <c r="I192" s="307" t="s">
        <v>286</v>
      </c>
      <c r="J192" s="307" t="s">
        <v>286</v>
      </c>
      <c r="K192" s="307" t="s">
        <v>286</v>
      </c>
      <c r="L192" s="307" t="s">
        <v>286</v>
      </c>
      <c r="M192" s="307" t="s">
        <v>286</v>
      </c>
      <c r="N192" s="307" t="s">
        <v>286</v>
      </c>
      <c r="O192" s="307" t="s">
        <v>286</v>
      </c>
      <c r="P192" s="307" t="s">
        <v>286</v>
      </c>
      <c r="Q192" s="307"/>
      <c r="R192" s="307"/>
      <c r="S192" s="307" t="s">
        <v>286</v>
      </c>
      <c r="T192" s="307" t="s">
        <v>286</v>
      </c>
      <c r="U192" s="366"/>
      <c r="V192" s="366"/>
      <c r="W192" s="366"/>
      <c r="X192" s="366"/>
      <c r="Y192" s="366"/>
      <c r="Z192" s="366"/>
    </row>
    <row r="193" spans="1:26" s="283" customFormat="1" x14ac:dyDescent="0.25">
      <c r="A193" s="289" t="s">
        <v>539</v>
      </c>
      <c r="B193" s="269" t="s">
        <v>1021</v>
      </c>
      <c r="C193" s="288" t="s">
        <v>748</v>
      </c>
      <c r="D193" s="307">
        <f>D196</f>
        <v>493.60837199999997</v>
      </c>
      <c r="E193" s="307">
        <f t="shared" ref="E193:R193" si="66">E196</f>
        <v>506.14513199999993</v>
      </c>
      <c r="F193" s="307">
        <f t="shared" si="66"/>
        <v>558.88575600000001</v>
      </c>
      <c r="G193" s="307">
        <f t="shared" si="66"/>
        <v>812.52918</v>
      </c>
      <c r="H193" s="307">
        <f t="shared" si="66"/>
        <v>548.02881600000001</v>
      </c>
      <c r="I193" s="307">
        <f t="shared" si="66"/>
        <v>957.33672000000001</v>
      </c>
      <c r="J193" s="307">
        <f t="shared" si="66"/>
        <v>566.25141599999995</v>
      </c>
      <c r="K193" s="307">
        <f t="shared" si="66"/>
        <v>986.62439999999992</v>
      </c>
      <c r="L193" s="307">
        <v>609.58552999999995</v>
      </c>
      <c r="M193" s="307">
        <f t="shared" si="66"/>
        <v>1200.8399999999999</v>
      </c>
      <c r="N193" s="307"/>
      <c r="O193" s="307">
        <f t="shared" si="66"/>
        <v>1248.8736000000001</v>
      </c>
      <c r="P193" s="307"/>
      <c r="Q193" s="307">
        <f t="shared" si="66"/>
        <v>1300.0774176</v>
      </c>
      <c r="R193" s="307">
        <f t="shared" si="66"/>
        <v>1353.3805917216</v>
      </c>
      <c r="S193" s="326">
        <f t="shared" ref="S193" si="67">G193+I193+K193+O193+M193</f>
        <v>5206.2039000000004</v>
      </c>
      <c r="T193" s="307" t="s">
        <v>286</v>
      </c>
      <c r="U193" s="366"/>
      <c r="V193" s="366"/>
      <c r="W193" s="366"/>
      <c r="X193" s="366"/>
      <c r="Y193" s="366"/>
      <c r="Z193" s="366"/>
    </row>
    <row r="194" spans="1:26" s="283" customFormat="1" x14ac:dyDescent="0.25">
      <c r="A194" s="289" t="s">
        <v>540</v>
      </c>
      <c r="B194" s="136" t="s">
        <v>638</v>
      </c>
      <c r="C194" s="288" t="s">
        <v>748</v>
      </c>
      <c r="D194" s="307" t="s">
        <v>286</v>
      </c>
      <c r="E194" s="307" t="s">
        <v>286</v>
      </c>
      <c r="F194" s="307" t="s">
        <v>286</v>
      </c>
      <c r="G194" s="307" t="s">
        <v>286</v>
      </c>
      <c r="H194" s="307" t="s">
        <v>286</v>
      </c>
      <c r="I194" s="307" t="s">
        <v>286</v>
      </c>
      <c r="J194" s="307" t="s">
        <v>286</v>
      </c>
      <c r="K194" s="307" t="s">
        <v>286</v>
      </c>
      <c r="L194" s="307"/>
      <c r="M194" s="307" t="s">
        <v>286</v>
      </c>
      <c r="N194" s="307" t="s">
        <v>286</v>
      </c>
      <c r="O194" s="307" t="s">
        <v>286</v>
      </c>
      <c r="P194" s="307" t="s">
        <v>286</v>
      </c>
      <c r="Q194" s="307"/>
      <c r="R194" s="307"/>
      <c r="S194" s="307" t="s">
        <v>286</v>
      </c>
      <c r="T194" s="307" t="s">
        <v>286</v>
      </c>
      <c r="U194" s="366"/>
      <c r="V194" s="366"/>
      <c r="W194" s="366"/>
      <c r="X194" s="366"/>
      <c r="Y194" s="366"/>
      <c r="Z194" s="366"/>
    </row>
    <row r="195" spans="1:26" s="283" customFormat="1" x14ac:dyDescent="0.25">
      <c r="A195" s="289" t="s">
        <v>541</v>
      </c>
      <c r="B195" s="136" t="s">
        <v>865</v>
      </c>
      <c r="C195" s="288" t="s">
        <v>748</v>
      </c>
      <c r="D195" s="307" t="s">
        <v>286</v>
      </c>
      <c r="E195" s="307" t="s">
        <v>286</v>
      </c>
      <c r="F195" s="307" t="s">
        <v>286</v>
      </c>
      <c r="G195" s="307" t="s">
        <v>286</v>
      </c>
      <c r="H195" s="307" t="s">
        <v>286</v>
      </c>
      <c r="I195" s="307" t="s">
        <v>286</v>
      </c>
      <c r="J195" s="307" t="s">
        <v>286</v>
      </c>
      <c r="K195" s="307" t="s">
        <v>286</v>
      </c>
      <c r="L195" s="307"/>
      <c r="M195" s="307" t="s">
        <v>286</v>
      </c>
      <c r="N195" s="307" t="s">
        <v>286</v>
      </c>
      <c r="O195" s="307" t="s">
        <v>286</v>
      </c>
      <c r="P195" s="307" t="s">
        <v>286</v>
      </c>
      <c r="Q195" s="307"/>
      <c r="R195" s="307"/>
      <c r="S195" s="307" t="s">
        <v>286</v>
      </c>
      <c r="T195" s="307" t="s">
        <v>286</v>
      </c>
      <c r="U195" s="366"/>
      <c r="V195" s="366"/>
      <c r="W195" s="366"/>
      <c r="X195" s="366"/>
      <c r="Y195" s="366"/>
      <c r="Z195" s="366"/>
    </row>
    <row r="196" spans="1:26" s="283" customFormat="1" x14ac:dyDescent="0.25">
      <c r="A196" s="289" t="s">
        <v>797</v>
      </c>
      <c r="B196" s="136" t="s">
        <v>798</v>
      </c>
      <c r="C196" s="288" t="s">
        <v>748</v>
      </c>
      <c r="D196" s="307">
        <f>411.34031*1.2</f>
        <v>493.60837199999997</v>
      </c>
      <c r="E196" s="307">
        <f>421.78761*1.2</f>
        <v>506.14513199999993</v>
      </c>
      <c r="F196" s="307">
        <f>465.73813*1.2</f>
        <v>558.88575600000001</v>
      </c>
      <c r="G196" s="307">
        <f>677.10765*1.2</f>
        <v>812.52918</v>
      </c>
      <c r="H196" s="307">
        <f>456.69068*1.2</f>
        <v>548.02881600000001</v>
      </c>
      <c r="I196" s="307">
        <f>797.7806*1.2</f>
        <v>957.33672000000001</v>
      </c>
      <c r="J196" s="307">
        <f>471.87618*1.2</f>
        <v>566.25141599999995</v>
      </c>
      <c r="K196" s="307">
        <f>K52*1.2</f>
        <v>986.62439999999992</v>
      </c>
      <c r="L196" s="307">
        <v>609.59</v>
      </c>
      <c r="M196" s="307">
        <f>M52*1.2</f>
        <v>1200.8399999999999</v>
      </c>
      <c r="N196" s="307"/>
      <c r="O196" s="307">
        <f>O52*1.2</f>
        <v>1248.8736000000001</v>
      </c>
      <c r="P196" s="307"/>
      <c r="Q196" s="307">
        <f t="shared" ref="Q196:R196" si="68">Q52*1.2</f>
        <v>1300.0774176</v>
      </c>
      <c r="R196" s="307">
        <f t="shared" si="68"/>
        <v>1353.3805917216</v>
      </c>
      <c r="S196" s="326">
        <f t="shared" ref="S196" si="69">G196+I196+K196+O196+M196</f>
        <v>5206.2039000000004</v>
      </c>
      <c r="T196" s="307" t="s">
        <v>286</v>
      </c>
      <c r="U196" s="366"/>
      <c r="V196" s="366"/>
      <c r="W196" s="366"/>
      <c r="X196" s="366"/>
      <c r="Y196" s="366"/>
      <c r="Z196" s="366"/>
    </row>
    <row r="197" spans="1:26" s="283" customFormat="1" ht="31.5" x14ac:dyDescent="0.25">
      <c r="A197" s="289" t="s">
        <v>542</v>
      </c>
      <c r="B197" s="269" t="s">
        <v>901</v>
      </c>
      <c r="C197" s="288" t="s">
        <v>748</v>
      </c>
      <c r="D197" s="307" t="s">
        <v>286</v>
      </c>
      <c r="E197" s="307" t="s">
        <v>286</v>
      </c>
      <c r="F197" s="307" t="s">
        <v>286</v>
      </c>
      <c r="G197" s="307" t="s">
        <v>286</v>
      </c>
      <c r="H197" s="307" t="s">
        <v>286</v>
      </c>
      <c r="I197" s="307" t="s">
        <v>286</v>
      </c>
      <c r="J197" s="307" t="s">
        <v>286</v>
      </c>
      <c r="K197" s="307" t="s">
        <v>286</v>
      </c>
      <c r="L197" s="307"/>
      <c r="M197" s="307" t="s">
        <v>286</v>
      </c>
      <c r="N197" s="307" t="s">
        <v>286</v>
      </c>
      <c r="O197" s="307" t="s">
        <v>286</v>
      </c>
      <c r="P197" s="307" t="s">
        <v>286</v>
      </c>
      <c r="Q197" s="307"/>
      <c r="R197" s="307"/>
      <c r="S197" s="307" t="s">
        <v>286</v>
      </c>
      <c r="T197" s="307" t="s">
        <v>286</v>
      </c>
      <c r="U197" s="366"/>
      <c r="V197" s="366"/>
      <c r="W197" s="366"/>
      <c r="X197" s="366"/>
      <c r="Y197" s="366"/>
      <c r="Z197" s="366"/>
    </row>
    <row r="198" spans="1:26" s="283" customFormat="1" ht="31.5" x14ac:dyDescent="0.25">
      <c r="A198" s="289" t="s">
        <v>649</v>
      </c>
      <c r="B198" s="269" t="s">
        <v>1062</v>
      </c>
      <c r="C198" s="288" t="s">
        <v>748</v>
      </c>
      <c r="D198" s="307" t="s">
        <v>286</v>
      </c>
      <c r="E198" s="307" t="s">
        <v>286</v>
      </c>
      <c r="F198" s="307" t="s">
        <v>286</v>
      </c>
      <c r="G198" s="307" t="s">
        <v>286</v>
      </c>
      <c r="H198" s="307" t="s">
        <v>286</v>
      </c>
      <c r="I198" s="307" t="s">
        <v>286</v>
      </c>
      <c r="J198" s="307" t="s">
        <v>286</v>
      </c>
      <c r="K198" s="307" t="s">
        <v>286</v>
      </c>
      <c r="L198" s="307"/>
      <c r="M198" s="307" t="s">
        <v>286</v>
      </c>
      <c r="N198" s="307" t="s">
        <v>286</v>
      </c>
      <c r="O198" s="307" t="s">
        <v>286</v>
      </c>
      <c r="P198" s="307" t="s">
        <v>286</v>
      </c>
      <c r="Q198" s="307"/>
      <c r="R198" s="307"/>
      <c r="S198" s="307" t="s">
        <v>286</v>
      </c>
      <c r="T198" s="307" t="s">
        <v>286</v>
      </c>
      <c r="U198" s="366"/>
      <c r="V198" s="366"/>
      <c r="W198" s="366"/>
      <c r="X198" s="366"/>
      <c r="Y198" s="366"/>
      <c r="Z198" s="366"/>
    </row>
    <row r="199" spans="1:26" s="283" customFormat="1" x14ac:dyDescent="0.25">
      <c r="A199" s="289" t="s">
        <v>650</v>
      </c>
      <c r="B199" s="269" t="s">
        <v>1048</v>
      </c>
      <c r="C199" s="288" t="s">
        <v>748</v>
      </c>
      <c r="D199" s="307" t="s">
        <v>286</v>
      </c>
      <c r="E199" s="307" t="s">
        <v>286</v>
      </c>
      <c r="F199" s="307" t="s">
        <v>286</v>
      </c>
      <c r="G199" s="307" t="s">
        <v>286</v>
      </c>
      <c r="H199" s="307" t="s">
        <v>286</v>
      </c>
      <c r="I199" s="307" t="s">
        <v>286</v>
      </c>
      <c r="J199" s="307" t="s">
        <v>286</v>
      </c>
      <c r="K199" s="307" t="s">
        <v>286</v>
      </c>
      <c r="L199" s="307"/>
      <c r="M199" s="307" t="s">
        <v>286</v>
      </c>
      <c r="N199" s="307" t="s">
        <v>286</v>
      </c>
      <c r="O199" s="307" t="s">
        <v>286</v>
      </c>
      <c r="P199" s="307" t="s">
        <v>286</v>
      </c>
      <c r="Q199" s="307"/>
      <c r="R199" s="307"/>
      <c r="S199" s="307" t="s">
        <v>286</v>
      </c>
      <c r="T199" s="307" t="s">
        <v>286</v>
      </c>
      <c r="U199" s="366"/>
      <c r="V199" s="366"/>
      <c r="W199" s="366"/>
      <c r="X199" s="366"/>
      <c r="Y199" s="366"/>
      <c r="Z199" s="366"/>
    </row>
    <row r="200" spans="1:26" s="283" customFormat="1" x14ac:dyDescent="0.25">
      <c r="A200" s="289" t="s">
        <v>651</v>
      </c>
      <c r="B200" s="269" t="s">
        <v>639</v>
      </c>
      <c r="C200" s="288" t="s">
        <v>748</v>
      </c>
      <c r="D200" s="305">
        <v>621.24</v>
      </c>
      <c r="E200" s="305">
        <v>670.66</v>
      </c>
      <c r="F200" s="307">
        <v>644.19000000000005</v>
      </c>
      <c r="G200" s="307">
        <v>658.65269171779141</v>
      </c>
      <c r="H200" s="307">
        <v>736.55840000000001</v>
      </c>
      <c r="I200" s="326">
        <v>640.35</v>
      </c>
      <c r="J200" s="330">
        <v>772.13391000000001</v>
      </c>
      <c r="K200" s="335">
        <f>K63/1.304</f>
        <v>667.75306748466255</v>
      </c>
      <c r="L200" s="307">
        <v>865.58159000000001</v>
      </c>
      <c r="M200" s="335">
        <v>753.01296000000002</v>
      </c>
      <c r="N200" s="307" t="s">
        <v>286</v>
      </c>
      <c r="O200" s="335">
        <f>M200*1.063</f>
        <v>800.45277648000001</v>
      </c>
      <c r="P200" s="307" t="s">
        <v>286</v>
      </c>
      <c r="Q200" s="335">
        <f>O200*1.041</f>
        <v>833.27134031567994</v>
      </c>
      <c r="R200" s="335">
        <f>Q200*1.041</f>
        <v>867.43546526862281</v>
      </c>
      <c r="S200" s="326">
        <f t="shared" ref="S200:S210" si="70">G200+I200+K200+O200+M200</f>
        <v>3520.2214956824541</v>
      </c>
      <c r="T200" s="307" t="s">
        <v>286</v>
      </c>
      <c r="U200" s="366"/>
      <c r="V200" s="366"/>
      <c r="W200" s="366"/>
      <c r="X200" s="366"/>
      <c r="Y200" s="366"/>
      <c r="Z200" s="366"/>
    </row>
    <row r="201" spans="1:26" s="283" customFormat="1" x14ac:dyDescent="0.25">
      <c r="A201" s="289" t="s">
        <v>652</v>
      </c>
      <c r="B201" s="269" t="s">
        <v>823</v>
      </c>
      <c r="C201" s="288" t="s">
        <v>748</v>
      </c>
      <c r="D201" s="305">
        <v>161.16999999999999</v>
      </c>
      <c r="E201" s="305">
        <v>191.06</v>
      </c>
      <c r="F201" s="307">
        <v>200.45</v>
      </c>
      <c r="G201" s="307">
        <v>199.30777828220857</v>
      </c>
      <c r="H201" s="307">
        <v>222.09428</v>
      </c>
      <c r="I201" s="326">
        <v>194.67064000000002</v>
      </c>
      <c r="J201" s="330">
        <v>231.59138999999999</v>
      </c>
      <c r="K201" s="335">
        <f>K200*0.304</f>
        <v>202.99693251533742</v>
      </c>
      <c r="L201" s="307">
        <v>260.29617000000002</v>
      </c>
      <c r="M201" s="335">
        <f>M200*0.304</f>
        <v>228.91593983999999</v>
      </c>
      <c r="N201" s="307" t="s">
        <v>286</v>
      </c>
      <c r="O201" s="335">
        <f>O200*0.304</f>
        <v>243.33764404991999</v>
      </c>
      <c r="P201" s="307" t="s">
        <v>286</v>
      </c>
      <c r="Q201" s="335">
        <f t="shared" ref="Q201:R201" si="71">Q200*0.304</f>
        <v>253.31448745596668</v>
      </c>
      <c r="R201" s="335">
        <f t="shared" si="71"/>
        <v>263.70038144166131</v>
      </c>
      <c r="S201" s="326">
        <f t="shared" si="70"/>
        <v>1069.2289346874661</v>
      </c>
      <c r="T201" s="307" t="s">
        <v>286</v>
      </c>
      <c r="U201" s="366"/>
      <c r="V201" s="366"/>
      <c r="W201" s="366"/>
      <c r="X201" s="366"/>
      <c r="Y201" s="366"/>
      <c r="Z201" s="366"/>
    </row>
    <row r="202" spans="1:26" s="283" customFormat="1" x14ac:dyDescent="0.25">
      <c r="A202" s="289" t="s">
        <v>790</v>
      </c>
      <c r="B202" s="269" t="s">
        <v>1022</v>
      </c>
      <c r="C202" s="288" t="s">
        <v>748</v>
      </c>
      <c r="D202" s="305">
        <v>238.21</v>
      </c>
      <c r="E202" s="305">
        <v>237.49</v>
      </c>
      <c r="F202" s="307">
        <v>275.25</v>
      </c>
      <c r="G202" s="307">
        <v>209.69330799999994</v>
      </c>
      <c r="H202" s="307">
        <v>271.98973000000001</v>
      </c>
      <c r="I202" s="330">
        <v>206.18</v>
      </c>
      <c r="J202" s="330">
        <v>322.74099999999999</v>
      </c>
      <c r="K202" s="335">
        <v>326.42</v>
      </c>
      <c r="L202" s="307">
        <v>362.57724999999999</v>
      </c>
      <c r="M202" s="335">
        <v>355.52875</v>
      </c>
      <c r="N202" s="307" t="s">
        <v>286</v>
      </c>
      <c r="O202" s="335">
        <f>M202*1.04</f>
        <v>369.74990000000003</v>
      </c>
      <c r="P202" s="307" t="s">
        <v>286</v>
      </c>
      <c r="Q202" s="335">
        <f>O202*1.041</f>
        <v>384.90964589999999</v>
      </c>
      <c r="R202" s="335">
        <f>Q202*1.041</f>
        <v>400.69094138189996</v>
      </c>
      <c r="S202" s="326">
        <f t="shared" si="70"/>
        <v>1467.571958</v>
      </c>
      <c r="T202" s="307" t="s">
        <v>286</v>
      </c>
      <c r="U202" s="366"/>
      <c r="V202" s="366"/>
      <c r="W202" s="366"/>
      <c r="X202" s="366"/>
      <c r="Y202" s="366"/>
      <c r="Z202" s="366"/>
    </row>
    <row r="203" spans="1:26" s="283" customFormat="1" x14ac:dyDescent="0.25">
      <c r="A203" s="289" t="s">
        <v>800</v>
      </c>
      <c r="B203" s="136" t="s">
        <v>801</v>
      </c>
      <c r="C203" s="288" t="s">
        <v>748</v>
      </c>
      <c r="D203" s="305">
        <v>26.22</v>
      </c>
      <c r="E203" s="305">
        <v>32.67</v>
      </c>
      <c r="F203" s="307">
        <v>44.68</v>
      </c>
      <c r="G203" s="307">
        <v>12.232357999999929</v>
      </c>
      <c r="H203" s="307">
        <v>24.05789</v>
      </c>
      <c r="I203" s="326">
        <v>12.982753999999984</v>
      </c>
      <c r="J203" s="330">
        <v>52.789050000000003</v>
      </c>
      <c r="K203" s="335">
        <v>34.24</v>
      </c>
      <c r="L203" s="307">
        <v>62.193199999999997</v>
      </c>
      <c r="M203" s="335">
        <f>M130</f>
        <v>16.597687499999957</v>
      </c>
      <c r="N203" s="307" t="s">
        <v>286</v>
      </c>
      <c r="O203" s="335">
        <f>O130</f>
        <v>51.047930637500116</v>
      </c>
      <c r="P203" s="307" t="s">
        <v>286</v>
      </c>
      <c r="Q203" s="335">
        <f>Q130</f>
        <v>36.899845793637624</v>
      </c>
      <c r="R203" s="335">
        <f t="shared" ref="R203" si="72">R130</f>
        <v>38.361904063077532</v>
      </c>
      <c r="S203" s="326">
        <f t="shared" si="70"/>
        <v>127.10073013749999</v>
      </c>
      <c r="T203" s="307" t="s">
        <v>286</v>
      </c>
      <c r="U203" s="366"/>
      <c r="V203" s="366"/>
      <c r="W203" s="366"/>
      <c r="X203" s="366"/>
      <c r="Y203" s="366"/>
      <c r="Z203" s="366"/>
    </row>
    <row r="204" spans="1:26" s="283" customFormat="1" x14ac:dyDescent="0.25">
      <c r="A204" s="289" t="s">
        <v>799</v>
      </c>
      <c r="B204" s="269" t="s">
        <v>895</v>
      </c>
      <c r="C204" s="288" t="s">
        <v>748</v>
      </c>
      <c r="D204" s="305">
        <f>784.74-D196</f>
        <v>291.13162800000003</v>
      </c>
      <c r="E204" s="305">
        <f>824.55-E196</f>
        <v>318.40486800000002</v>
      </c>
      <c r="F204" s="307">
        <f>1116.41-F196</f>
        <v>557.52424400000007</v>
      </c>
      <c r="G204" s="307">
        <f>982.10984-G196</f>
        <v>169.58065999999997</v>
      </c>
      <c r="H204" s="307">
        <f>977.4711-H196</f>
        <v>429.44228399999997</v>
      </c>
      <c r="I204" s="326">
        <f>1275.42726-I196</f>
        <v>318.09053999999992</v>
      </c>
      <c r="J204" s="330">
        <f>950.61803-J196</f>
        <v>384.36661400000003</v>
      </c>
      <c r="K204" s="335">
        <f>K48*1.2-K196</f>
        <v>321.06839999999988</v>
      </c>
      <c r="L204" s="307">
        <v>428.51100000000002</v>
      </c>
      <c r="M204" s="335">
        <f>((M55+M56))*0.95*1.2</f>
        <v>313.07136000000003</v>
      </c>
      <c r="N204" s="307" t="s">
        <v>286</v>
      </c>
      <c r="O204" s="335">
        <f>((O55+O56))*0.95*1.2</f>
        <v>325.5942144</v>
      </c>
      <c r="P204" s="307" t="s">
        <v>286</v>
      </c>
      <c r="Q204" s="335">
        <f t="shared" ref="Q204:R204" si="73">((Q55+Q56))*0.95*1.2</f>
        <v>339.03477719039995</v>
      </c>
      <c r="R204" s="335">
        <f t="shared" si="73"/>
        <v>352.93520305520627</v>
      </c>
      <c r="S204" s="326">
        <f t="shared" si="70"/>
        <v>1447.4051743999999</v>
      </c>
      <c r="T204" s="307" t="s">
        <v>286</v>
      </c>
      <c r="U204" s="366"/>
      <c r="V204" s="366"/>
      <c r="W204" s="366"/>
      <c r="X204" s="366"/>
      <c r="Y204" s="366"/>
      <c r="Z204" s="366"/>
    </row>
    <row r="205" spans="1:26" s="283" customFormat="1" x14ac:dyDescent="0.25">
      <c r="A205" s="289" t="s">
        <v>802</v>
      </c>
      <c r="B205" s="269" t="s">
        <v>896</v>
      </c>
      <c r="C205" s="288" t="s">
        <v>748</v>
      </c>
      <c r="D205" s="305">
        <v>69.41</v>
      </c>
      <c r="E205" s="305">
        <v>51.05</v>
      </c>
      <c r="F205" s="307">
        <v>74.930000000000007</v>
      </c>
      <c r="G205" s="307">
        <v>5.0363839999999991</v>
      </c>
      <c r="H205" s="307">
        <v>65.100750000000005</v>
      </c>
      <c r="I205" s="326">
        <v>26.114219999999996</v>
      </c>
      <c r="J205" s="330">
        <v>76.376829999999998</v>
      </c>
      <c r="K205" s="335">
        <f>K57*1.2</f>
        <v>24.323999999999998</v>
      </c>
      <c r="L205" s="307">
        <v>69.423280000000005</v>
      </c>
      <c r="M205" s="335">
        <f>M62*1.2</f>
        <v>23.707848000000002</v>
      </c>
      <c r="N205" s="307" t="s">
        <v>286</v>
      </c>
      <c r="O205" s="335">
        <f>O62*1.2</f>
        <v>25.201442424</v>
      </c>
      <c r="P205" s="307" t="s">
        <v>286</v>
      </c>
      <c r="Q205" s="335">
        <f t="shared" ref="Q205:R205" si="74">Q62*1.2</f>
        <v>26.234701563383997</v>
      </c>
      <c r="R205" s="335">
        <f t="shared" si="74"/>
        <v>27.310324327482739</v>
      </c>
      <c r="S205" s="326">
        <f t="shared" si="70"/>
        <v>104.38389442399999</v>
      </c>
      <c r="T205" s="307" t="s">
        <v>286</v>
      </c>
      <c r="U205" s="366"/>
      <c r="V205" s="366"/>
      <c r="W205" s="366"/>
      <c r="X205" s="366"/>
      <c r="Y205" s="366"/>
      <c r="Z205" s="366"/>
    </row>
    <row r="206" spans="1:26" s="283" customFormat="1" x14ac:dyDescent="0.25">
      <c r="A206" s="289" t="s">
        <v>803</v>
      </c>
      <c r="B206" s="269" t="s">
        <v>805</v>
      </c>
      <c r="C206" s="288" t="s">
        <v>748</v>
      </c>
      <c r="D206" s="305">
        <v>33.770000000000003</v>
      </c>
      <c r="E206" s="305">
        <v>28.59</v>
      </c>
      <c r="F206" s="307">
        <v>22.76</v>
      </c>
      <c r="G206" s="307">
        <v>6.2750000000000004</v>
      </c>
      <c r="H206" s="307">
        <v>12.173209999999999</v>
      </c>
      <c r="I206" s="326">
        <v>12.865536000000001</v>
      </c>
      <c r="J206" s="330">
        <v>9.6704100000000004</v>
      </c>
      <c r="K206" s="335">
        <f>K75*1.2</f>
        <v>7.3319999999999999</v>
      </c>
      <c r="L206" s="307">
        <v>7.8539300000000001</v>
      </c>
      <c r="M206" s="335">
        <f>M75*1.2</f>
        <v>8.8304399999999994</v>
      </c>
      <c r="N206" s="307" t="s">
        <v>286</v>
      </c>
      <c r="O206" s="335">
        <f>O75*1.2</f>
        <v>9.1836576000000001</v>
      </c>
      <c r="P206" s="307" t="s">
        <v>286</v>
      </c>
      <c r="Q206" s="335">
        <f t="shared" ref="Q206:R206" si="75">Q75*1.2</f>
        <v>9.5601875615999994</v>
      </c>
      <c r="R206" s="335">
        <f t="shared" si="75"/>
        <v>9.952155251625598</v>
      </c>
      <c r="S206" s="326">
        <f t="shared" si="70"/>
        <v>44.486633600000005</v>
      </c>
      <c r="T206" s="307" t="s">
        <v>286</v>
      </c>
      <c r="U206" s="366"/>
      <c r="V206" s="366"/>
      <c r="W206" s="366"/>
      <c r="X206" s="366"/>
      <c r="Y206" s="366"/>
      <c r="Z206" s="366"/>
    </row>
    <row r="207" spans="1:26" s="283" customFormat="1" ht="31.5" x14ac:dyDescent="0.25">
      <c r="A207" s="289" t="s">
        <v>804</v>
      </c>
      <c r="B207" s="269" t="s">
        <v>1002</v>
      </c>
      <c r="C207" s="288" t="s">
        <v>748</v>
      </c>
      <c r="D207" s="305">
        <v>22.72</v>
      </c>
      <c r="E207" s="305">
        <v>22.33</v>
      </c>
      <c r="F207" s="307">
        <v>17.11</v>
      </c>
      <c r="G207" s="307">
        <v>25.876999999999999</v>
      </c>
      <c r="H207" s="307">
        <v>31.2623</v>
      </c>
      <c r="I207" s="306">
        <v>24.109000000000002</v>
      </c>
      <c r="J207" s="330">
        <v>32.384999999999998</v>
      </c>
      <c r="K207" s="335">
        <v>45.94</v>
      </c>
      <c r="L207" s="307">
        <v>48.47345</v>
      </c>
      <c r="M207" s="335">
        <f>M107</f>
        <v>76.235969999999995</v>
      </c>
      <c r="N207" s="307" t="s">
        <v>286</v>
      </c>
      <c r="O207" s="335">
        <f>O107</f>
        <v>51.616800000000005</v>
      </c>
      <c r="P207" s="307" t="s">
        <v>286</v>
      </c>
      <c r="Q207" s="335">
        <f t="shared" ref="Q207:R207" si="76">Q107</f>
        <v>51.503456</v>
      </c>
      <c r="R207" s="335">
        <f t="shared" si="76"/>
        <v>51.399179520000004</v>
      </c>
      <c r="S207" s="326">
        <f t="shared" si="70"/>
        <v>223.77877000000001</v>
      </c>
      <c r="T207" s="307" t="s">
        <v>286</v>
      </c>
      <c r="U207" s="366"/>
      <c r="V207" s="366"/>
      <c r="W207" s="366"/>
      <c r="X207" s="366"/>
      <c r="Y207" s="366"/>
      <c r="Z207" s="366"/>
    </row>
    <row r="208" spans="1:26" s="283" customFormat="1" x14ac:dyDescent="0.25">
      <c r="A208" s="289" t="s">
        <v>824</v>
      </c>
      <c r="B208" s="269" t="s">
        <v>1063</v>
      </c>
      <c r="C208" s="288" t="s">
        <v>748</v>
      </c>
      <c r="D208" s="305">
        <v>117.53</v>
      </c>
      <c r="E208" s="305">
        <v>124.96</v>
      </c>
      <c r="F208" s="307">
        <v>104.87</v>
      </c>
      <c r="G208" s="307">
        <v>192.1884</v>
      </c>
      <c r="H208" s="307">
        <v>104.96423</v>
      </c>
      <c r="I208" s="306">
        <v>148.903704</v>
      </c>
      <c r="J208" s="330">
        <v>126.91352000000001</v>
      </c>
      <c r="K208" s="335">
        <f>(K74+K76)*1.2+30+8.5-1.483</f>
        <v>140.85129599999999</v>
      </c>
      <c r="L208" s="307">
        <v>154.91073</v>
      </c>
      <c r="M208" s="335">
        <f>(M73*0.95)*1.1</f>
        <v>103.25844595000001</v>
      </c>
      <c r="N208" s="307" t="s">
        <v>286</v>
      </c>
      <c r="O208" s="335">
        <f>(O73*0.95)*1.1</f>
        <v>107.38878378800001</v>
      </c>
      <c r="P208" s="307" t="s">
        <v>286</v>
      </c>
      <c r="Q208" s="335">
        <f>(Q73*0.95)*1.1</f>
        <v>111.791723923308</v>
      </c>
      <c r="R208" s="335">
        <f>(R73*0.95)*1.1</f>
        <v>116.37518460416364</v>
      </c>
      <c r="S208" s="326">
        <f t="shared" si="70"/>
        <v>692.59062973800008</v>
      </c>
      <c r="T208" s="307" t="s">
        <v>286</v>
      </c>
      <c r="U208" s="366"/>
      <c r="V208" s="366"/>
      <c r="W208" s="366"/>
      <c r="X208" s="366"/>
      <c r="Y208" s="366"/>
      <c r="Z208" s="366"/>
    </row>
    <row r="209" spans="1:20" s="283" customFormat="1" ht="26.25" customHeight="1" x14ac:dyDescent="0.25">
      <c r="A209" s="298" t="s">
        <v>543</v>
      </c>
      <c r="B209" s="299" t="s">
        <v>1023</v>
      </c>
      <c r="C209" s="300" t="s">
        <v>748</v>
      </c>
      <c r="D209" s="303">
        <f>SUM(D210:D215)</f>
        <v>0.9</v>
      </c>
      <c r="E209" s="303">
        <f t="shared" ref="E209:S209" si="77">SUM(E210:E215)</f>
        <v>4.63</v>
      </c>
      <c r="F209" s="303">
        <f t="shared" si="77"/>
        <v>2.84</v>
      </c>
      <c r="G209" s="303">
        <f t="shared" si="77"/>
        <v>0</v>
      </c>
      <c r="H209" s="303">
        <f t="shared" si="77"/>
        <v>1.3829800000000001</v>
      </c>
      <c r="I209" s="303">
        <f t="shared" si="77"/>
        <v>0</v>
      </c>
      <c r="J209" s="303">
        <f t="shared" si="77"/>
        <v>1.9852300000000001</v>
      </c>
      <c r="K209" s="303">
        <f t="shared" si="77"/>
        <v>0</v>
      </c>
      <c r="L209" s="308">
        <v>1.67936</v>
      </c>
      <c r="M209" s="303">
        <f t="shared" si="77"/>
        <v>0</v>
      </c>
      <c r="N209" s="308"/>
      <c r="O209" s="303">
        <f t="shared" si="77"/>
        <v>0</v>
      </c>
      <c r="P209" s="308"/>
      <c r="Q209" s="303">
        <f t="shared" si="77"/>
        <v>0</v>
      </c>
      <c r="R209" s="303">
        <f t="shared" si="77"/>
        <v>0</v>
      </c>
      <c r="S209" s="303">
        <f t="shared" si="77"/>
        <v>0</v>
      </c>
      <c r="T209" s="308"/>
    </row>
    <row r="210" spans="1:20" s="283" customFormat="1" x14ac:dyDescent="0.25">
      <c r="A210" s="289" t="s">
        <v>544</v>
      </c>
      <c r="B210" s="269" t="s">
        <v>44</v>
      </c>
      <c r="C210" s="288" t="s">
        <v>748</v>
      </c>
      <c r="D210" s="316">
        <v>0</v>
      </c>
      <c r="E210" s="317">
        <v>4.63</v>
      </c>
      <c r="F210" s="317">
        <v>2.84</v>
      </c>
      <c r="G210" s="312">
        <v>0</v>
      </c>
      <c r="H210" s="312">
        <v>1.3829800000000001</v>
      </c>
      <c r="I210" s="334">
        <v>0</v>
      </c>
      <c r="J210" s="334">
        <v>1.9852300000000001</v>
      </c>
      <c r="K210" s="335">
        <v>0</v>
      </c>
      <c r="L210" s="307">
        <v>1.67936</v>
      </c>
      <c r="M210" s="307">
        <v>0</v>
      </c>
      <c r="N210" s="307" t="s">
        <v>286</v>
      </c>
      <c r="O210" s="307">
        <v>0</v>
      </c>
      <c r="P210" s="307" t="s">
        <v>286</v>
      </c>
      <c r="Q210" s="307">
        <v>0</v>
      </c>
      <c r="R210" s="307">
        <v>0</v>
      </c>
      <c r="S210" s="326">
        <f t="shared" si="70"/>
        <v>0</v>
      </c>
      <c r="T210" s="307" t="s">
        <v>286</v>
      </c>
    </row>
    <row r="211" spans="1:20" s="283" customFormat="1" x14ac:dyDescent="0.25">
      <c r="A211" s="289" t="s">
        <v>545</v>
      </c>
      <c r="B211" s="269" t="s">
        <v>68</v>
      </c>
      <c r="C211" s="288" t="s">
        <v>748</v>
      </c>
      <c r="D211" s="307" t="s">
        <v>286</v>
      </c>
      <c r="E211" s="307" t="s">
        <v>286</v>
      </c>
      <c r="F211" s="307" t="s">
        <v>286</v>
      </c>
      <c r="G211" s="307" t="s">
        <v>286</v>
      </c>
      <c r="H211" s="307" t="s">
        <v>286</v>
      </c>
      <c r="I211" s="307" t="s">
        <v>286</v>
      </c>
      <c r="J211" s="307" t="s">
        <v>286</v>
      </c>
      <c r="K211" s="307" t="s">
        <v>286</v>
      </c>
      <c r="L211" s="307" t="s">
        <v>286</v>
      </c>
      <c r="M211" s="307" t="s">
        <v>286</v>
      </c>
      <c r="N211" s="307" t="s">
        <v>286</v>
      </c>
      <c r="O211" s="307" t="s">
        <v>286</v>
      </c>
      <c r="P211" s="307" t="s">
        <v>286</v>
      </c>
      <c r="Q211" s="307" t="s">
        <v>286</v>
      </c>
      <c r="R211" s="307" t="s">
        <v>286</v>
      </c>
      <c r="S211" s="307" t="s">
        <v>286</v>
      </c>
      <c r="T211" s="307" t="s">
        <v>286</v>
      </c>
    </row>
    <row r="212" spans="1:20" s="283" customFormat="1" ht="34.5" customHeight="1" x14ac:dyDescent="0.25">
      <c r="A212" s="289" t="s">
        <v>653</v>
      </c>
      <c r="B212" s="136" t="s">
        <v>1070</v>
      </c>
      <c r="C212" s="288" t="s">
        <v>748</v>
      </c>
      <c r="D212" s="307" t="s">
        <v>286</v>
      </c>
      <c r="E212" s="307" t="s">
        <v>286</v>
      </c>
      <c r="F212" s="307" t="s">
        <v>286</v>
      </c>
      <c r="G212" s="307" t="s">
        <v>286</v>
      </c>
      <c r="H212" s="307" t="s">
        <v>286</v>
      </c>
      <c r="I212" s="307" t="s">
        <v>286</v>
      </c>
      <c r="J212" s="307" t="s">
        <v>286</v>
      </c>
      <c r="K212" s="307" t="s">
        <v>286</v>
      </c>
      <c r="L212" s="307" t="s">
        <v>286</v>
      </c>
      <c r="M212" s="307" t="s">
        <v>286</v>
      </c>
      <c r="N212" s="307" t="s">
        <v>286</v>
      </c>
      <c r="O212" s="307" t="s">
        <v>286</v>
      </c>
      <c r="P212" s="307" t="s">
        <v>286</v>
      </c>
      <c r="Q212" s="307" t="s">
        <v>286</v>
      </c>
      <c r="R212" s="307" t="s">
        <v>286</v>
      </c>
      <c r="S212" s="307" t="s">
        <v>286</v>
      </c>
      <c r="T212" s="307" t="s">
        <v>286</v>
      </c>
    </row>
    <row r="213" spans="1:20" s="283" customFormat="1" x14ac:dyDescent="0.25">
      <c r="A213" s="289" t="s">
        <v>654</v>
      </c>
      <c r="B213" s="270" t="s">
        <v>620</v>
      </c>
      <c r="C213" s="288" t="s">
        <v>748</v>
      </c>
      <c r="D213" s="307" t="s">
        <v>286</v>
      </c>
      <c r="E213" s="307" t="s">
        <v>286</v>
      </c>
      <c r="F213" s="307" t="s">
        <v>286</v>
      </c>
      <c r="G213" s="307" t="s">
        <v>286</v>
      </c>
      <c r="H213" s="307" t="s">
        <v>286</v>
      </c>
      <c r="I213" s="307" t="s">
        <v>286</v>
      </c>
      <c r="J213" s="307" t="s">
        <v>286</v>
      </c>
      <c r="K213" s="307" t="s">
        <v>286</v>
      </c>
      <c r="L213" s="307" t="s">
        <v>286</v>
      </c>
      <c r="M213" s="307" t="s">
        <v>286</v>
      </c>
      <c r="N213" s="307" t="s">
        <v>286</v>
      </c>
      <c r="O213" s="307" t="s">
        <v>286</v>
      </c>
      <c r="P213" s="307" t="s">
        <v>286</v>
      </c>
      <c r="Q213" s="307" t="s">
        <v>286</v>
      </c>
      <c r="R213" s="307" t="s">
        <v>286</v>
      </c>
      <c r="S213" s="307" t="s">
        <v>286</v>
      </c>
      <c r="T213" s="307" t="s">
        <v>286</v>
      </c>
    </row>
    <row r="214" spans="1:20" s="283" customFormat="1" x14ac:dyDescent="0.25">
      <c r="A214" s="289" t="s">
        <v>655</v>
      </c>
      <c r="B214" s="270" t="s">
        <v>738</v>
      </c>
      <c r="C214" s="288" t="s">
        <v>748</v>
      </c>
      <c r="D214" s="307" t="s">
        <v>286</v>
      </c>
      <c r="E214" s="307" t="s">
        <v>286</v>
      </c>
      <c r="F214" s="307" t="s">
        <v>286</v>
      </c>
      <c r="G214" s="307" t="s">
        <v>286</v>
      </c>
      <c r="H214" s="307" t="s">
        <v>286</v>
      </c>
      <c r="I214" s="307" t="s">
        <v>286</v>
      </c>
      <c r="J214" s="307" t="s">
        <v>286</v>
      </c>
      <c r="K214" s="307" t="s">
        <v>286</v>
      </c>
      <c r="L214" s="307" t="s">
        <v>286</v>
      </c>
      <c r="M214" s="307" t="s">
        <v>286</v>
      </c>
      <c r="N214" s="307" t="s">
        <v>286</v>
      </c>
      <c r="O214" s="307" t="s">
        <v>286</v>
      </c>
      <c r="P214" s="307" t="s">
        <v>286</v>
      </c>
      <c r="Q214" s="307" t="s">
        <v>286</v>
      </c>
      <c r="R214" s="307" t="s">
        <v>286</v>
      </c>
      <c r="S214" s="307" t="s">
        <v>286</v>
      </c>
      <c r="T214" s="307" t="s">
        <v>286</v>
      </c>
    </row>
    <row r="215" spans="1:20" s="283" customFormat="1" x14ac:dyDescent="0.25">
      <c r="A215" s="289" t="s">
        <v>546</v>
      </c>
      <c r="B215" s="269" t="s">
        <v>1064</v>
      </c>
      <c r="C215" s="288" t="s">
        <v>748</v>
      </c>
      <c r="D215" s="315">
        <v>0.9</v>
      </c>
      <c r="E215" s="305"/>
      <c r="F215" s="307" t="s">
        <v>286</v>
      </c>
      <c r="G215" s="307">
        <v>0</v>
      </c>
      <c r="H215" s="307" t="s">
        <v>286</v>
      </c>
      <c r="I215" s="307">
        <v>0</v>
      </c>
      <c r="J215" s="307" t="s">
        <v>286</v>
      </c>
      <c r="K215" s="307">
        <v>0</v>
      </c>
      <c r="L215" s="307" t="s">
        <v>286</v>
      </c>
      <c r="M215" s="307">
        <v>0</v>
      </c>
      <c r="N215" s="307" t="s">
        <v>286</v>
      </c>
      <c r="O215" s="307">
        <v>0</v>
      </c>
      <c r="P215" s="307" t="s">
        <v>286</v>
      </c>
      <c r="Q215" s="307">
        <v>0</v>
      </c>
      <c r="R215" s="307">
        <v>0</v>
      </c>
      <c r="S215" s="326">
        <f>G215+I215+K215+O215+M215</f>
        <v>0</v>
      </c>
      <c r="T215" s="307" t="s">
        <v>286</v>
      </c>
    </row>
    <row r="216" spans="1:20" s="283" customFormat="1" x14ac:dyDescent="0.25">
      <c r="A216" s="298" t="s">
        <v>548</v>
      </c>
      <c r="B216" s="299" t="s">
        <v>1024</v>
      </c>
      <c r="C216" s="300" t="s">
        <v>748</v>
      </c>
      <c r="D216" s="303">
        <f>D217</f>
        <v>124.98</v>
      </c>
      <c r="E216" s="303">
        <f t="shared" ref="E216:H216" si="78">E217</f>
        <v>139.82</v>
      </c>
      <c r="F216" s="303">
        <f t="shared" si="78"/>
        <v>139.88999999999999</v>
      </c>
      <c r="G216" s="303">
        <f>G217+G224</f>
        <v>232.26920000000001</v>
      </c>
      <c r="H216" s="303">
        <f t="shared" si="78"/>
        <v>259.86445000000003</v>
      </c>
      <c r="I216" s="308">
        <f>I217</f>
        <v>244.94200000000001</v>
      </c>
      <c r="J216" s="308">
        <f>J217</f>
        <v>318.39807000000002</v>
      </c>
      <c r="K216" s="308">
        <f>K217+K224</f>
        <v>251.86</v>
      </c>
      <c r="L216" s="308">
        <f>L217+L224</f>
        <v>284.78437600000001</v>
      </c>
      <c r="M216" s="308">
        <f>M217+M224</f>
        <v>256.50297</v>
      </c>
      <c r="N216" s="308"/>
      <c r="O216" s="308">
        <f>O217+O224</f>
        <v>362.36759999999998</v>
      </c>
      <c r="P216" s="308"/>
      <c r="Q216" s="308">
        <f>Q217</f>
        <v>300.738</v>
      </c>
      <c r="R216" s="308">
        <f>R217</f>
        <v>260.73599999999999</v>
      </c>
      <c r="S216" s="308">
        <f>S217+S224</f>
        <v>1347.9417700000001</v>
      </c>
      <c r="T216" s="308"/>
    </row>
    <row r="217" spans="1:20" s="283" customFormat="1" x14ac:dyDescent="0.2">
      <c r="A217" s="289" t="s">
        <v>549</v>
      </c>
      <c r="B217" s="269" t="s">
        <v>1025</v>
      </c>
      <c r="C217" s="288" t="s">
        <v>748</v>
      </c>
      <c r="D217" s="305">
        <v>124.98</v>
      </c>
      <c r="E217" s="305">
        <v>139.82</v>
      </c>
      <c r="F217" s="307">
        <v>139.88999999999999</v>
      </c>
      <c r="G217" s="307">
        <v>230.76920000000001</v>
      </c>
      <c r="H217" s="307">
        <v>259.86445000000003</v>
      </c>
      <c r="I217" s="319">
        <v>244.94200000000001</v>
      </c>
      <c r="J217" s="312">
        <v>318.39807000000002</v>
      </c>
      <c r="K217" s="307">
        <f>K218+K219+K221+K223</f>
        <v>251.86</v>
      </c>
      <c r="L217" s="307">
        <v>282.65390600000001</v>
      </c>
      <c r="M217" s="307">
        <f>M218+M219+M221</f>
        <v>256.50297</v>
      </c>
      <c r="N217" s="307" t="s">
        <v>286</v>
      </c>
      <c r="O217" s="307">
        <f>O218+O219+O221</f>
        <v>360.86759999999998</v>
      </c>
      <c r="P217" s="307" t="s">
        <v>286</v>
      </c>
      <c r="Q217" s="307">
        <f>Q218+Q219+Q221</f>
        <v>300.738</v>
      </c>
      <c r="R217" s="307">
        <f>R218+R219+R221</f>
        <v>260.73599999999999</v>
      </c>
      <c r="S217" s="326">
        <f t="shared" ref="S217:S219" si="79">G217+I217+K217+O217+M217</f>
        <v>1344.9417700000001</v>
      </c>
      <c r="T217" s="307" t="s">
        <v>286</v>
      </c>
    </row>
    <row r="218" spans="1:20" s="283" customFormat="1" x14ac:dyDescent="0.2">
      <c r="A218" s="289" t="s">
        <v>656</v>
      </c>
      <c r="B218" s="136" t="s">
        <v>866</v>
      </c>
      <c r="C218" s="288" t="s">
        <v>748</v>
      </c>
      <c r="D218" s="305">
        <v>77.150000000000006</v>
      </c>
      <c r="E218" s="305">
        <v>74.61</v>
      </c>
      <c r="F218" s="307">
        <v>86.29</v>
      </c>
      <c r="G218" s="307">
        <v>91.03</v>
      </c>
      <c r="H218" s="307">
        <v>92.102670000000003</v>
      </c>
      <c r="I218" s="329">
        <v>76.671999999999997</v>
      </c>
      <c r="J218" s="312">
        <v>79.412000000000006</v>
      </c>
      <c r="K218" s="335">
        <v>43.94</v>
      </c>
      <c r="L218" s="307">
        <v>41.919020000000003</v>
      </c>
      <c r="M218" s="307">
        <v>65.520970000000005</v>
      </c>
      <c r="N218" s="307" t="s">
        <v>286</v>
      </c>
      <c r="O218" s="307">
        <f>130.31*1.2</f>
        <v>156.37199999999999</v>
      </c>
      <c r="P218" s="307" t="s">
        <v>286</v>
      </c>
      <c r="Q218" s="307">
        <f>154.961*1.2</f>
        <v>185.95320000000001</v>
      </c>
      <c r="R218" s="307">
        <f>165.849*1.2</f>
        <v>199.01879999999997</v>
      </c>
      <c r="S218" s="326">
        <f t="shared" si="79"/>
        <v>433.53497000000004</v>
      </c>
      <c r="T218" s="307" t="s">
        <v>286</v>
      </c>
    </row>
    <row r="219" spans="1:20" s="283" customFormat="1" x14ac:dyDescent="0.2">
      <c r="A219" s="289" t="s">
        <v>657</v>
      </c>
      <c r="B219" s="136" t="s">
        <v>867</v>
      </c>
      <c r="C219" s="288" t="s">
        <v>748</v>
      </c>
      <c r="D219" s="305">
        <v>14.63</v>
      </c>
      <c r="E219" s="305">
        <v>3.02</v>
      </c>
      <c r="F219" s="307">
        <v>1.07</v>
      </c>
      <c r="G219" s="307">
        <v>26.92</v>
      </c>
      <c r="H219" s="307">
        <v>5.13863</v>
      </c>
      <c r="I219" s="317">
        <v>110.19</v>
      </c>
      <c r="J219" s="312">
        <v>135.19390999999999</v>
      </c>
      <c r="K219" s="335">
        <f>84+21.5</f>
        <v>105.5</v>
      </c>
      <c r="L219" s="307">
        <v>100.91927</v>
      </c>
      <c r="M219" s="307">
        <v>105.5</v>
      </c>
      <c r="N219" s="307" t="s">
        <v>286</v>
      </c>
      <c r="O219" s="307">
        <f>103.471*1.2</f>
        <v>124.1652</v>
      </c>
      <c r="P219" s="307" t="s">
        <v>286</v>
      </c>
      <c r="Q219" s="307">
        <f>43.756*1.2</f>
        <v>52.507199999999997</v>
      </c>
      <c r="R219" s="307">
        <f>1.709*1.2</f>
        <v>2.0508000000000002</v>
      </c>
      <c r="S219" s="326">
        <f t="shared" si="79"/>
        <v>472.27520000000004</v>
      </c>
      <c r="T219" s="307" t="s">
        <v>286</v>
      </c>
    </row>
    <row r="220" spans="1:20" s="283" customFormat="1" ht="31.5" x14ac:dyDescent="0.25">
      <c r="A220" s="289" t="s">
        <v>658</v>
      </c>
      <c r="B220" s="136" t="s">
        <v>868</v>
      </c>
      <c r="C220" s="288" t="s">
        <v>748</v>
      </c>
      <c r="D220" s="305" t="s">
        <v>286</v>
      </c>
      <c r="E220" s="305" t="s">
        <v>286</v>
      </c>
      <c r="F220" s="307" t="s">
        <v>286</v>
      </c>
      <c r="G220" s="307" t="s">
        <v>286</v>
      </c>
      <c r="H220" s="307" t="s">
        <v>286</v>
      </c>
      <c r="I220" s="307" t="s">
        <v>286</v>
      </c>
      <c r="J220" s="307" t="s">
        <v>286</v>
      </c>
      <c r="K220" s="307" t="s">
        <v>286</v>
      </c>
      <c r="L220" s="307"/>
      <c r="M220" s="307" t="s">
        <v>286</v>
      </c>
      <c r="N220" s="307" t="s">
        <v>286</v>
      </c>
      <c r="O220" s="307" t="s">
        <v>286</v>
      </c>
      <c r="P220" s="307" t="s">
        <v>286</v>
      </c>
      <c r="Q220" s="307" t="s">
        <v>286</v>
      </c>
      <c r="R220" s="307" t="s">
        <v>286</v>
      </c>
      <c r="S220" s="307" t="s">
        <v>286</v>
      </c>
      <c r="T220" s="307" t="s">
        <v>286</v>
      </c>
    </row>
    <row r="221" spans="1:20" s="283" customFormat="1" x14ac:dyDescent="0.2">
      <c r="A221" s="289" t="s">
        <v>659</v>
      </c>
      <c r="B221" s="136" t="s">
        <v>869</v>
      </c>
      <c r="C221" s="288" t="s">
        <v>748</v>
      </c>
      <c r="D221" s="305">
        <v>33.200000000000003</v>
      </c>
      <c r="E221" s="305">
        <v>62.19</v>
      </c>
      <c r="F221" s="307">
        <v>52.53</v>
      </c>
      <c r="G221" s="307">
        <v>39.200000000000003</v>
      </c>
      <c r="H221" s="307">
        <v>37.829700000000003</v>
      </c>
      <c r="I221" s="329">
        <v>58.080000000000013</v>
      </c>
      <c r="J221" s="312">
        <v>78.367050000000006</v>
      </c>
      <c r="K221" s="335">
        <f>(98.94+3.48)</f>
        <v>102.42</v>
      </c>
      <c r="L221" s="307">
        <v>121.81261600000001</v>
      </c>
      <c r="M221" s="307">
        <v>85.481999999999999</v>
      </c>
      <c r="N221" s="307" t="s">
        <v>286</v>
      </c>
      <c r="O221" s="307">
        <f>66.942*1.2</f>
        <v>80.330399999999983</v>
      </c>
      <c r="P221" s="307" t="s">
        <v>286</v>
      </c>
      <c r="Q221" s="307">
        <f>51.898*1.2</f>
        <v>62.2776</v>
      </c>
      <c r="R221" s="307">
        <f>49.722*1.2</f>
        <v>59.666399999999996</v>
      </c>
      <c r="S221" s="326">
        <f>G221+I221+K221+O221+M221</f>
        <v>365.51239999999996</v>
      </c>
      <c r="T221" s="307" t="s">
        <v>286</v>
      </c>
    </row>
    <row r="222" spans="1:20" s="283" customFormat="1" x14ac:dyDescent="0.25">
      <c r="A222" s="289" t="s">
        <v>791</v>
      </c>
      <c r="B222" s="136" t="s">
        <v>870</v>
      </c>
      <c r="C222" s="288" t="s">
        <v>748</v>
      </c>
      <c r="D222" s="305" t="s">
        <v>286</v>
      </c>
      <c r="E222" s="305" t="s">
        <v>286</v>
      </c>
      <c r="F222" s="307" t="s">
        <v>286</v>
      </c>
      <c r="G222" s="307" t="s">
        <v>286</v>
      </c>
      <c r="H222" s="307" t="s">
        <v>286</v>
      </c>
      <c r="I222" s="307" t="s">
        <v>286</v>
      </c>
      <c r="J222" s="307" t="s">
        <v>286</v>
      </c>
      <c r="K222" s="307" t="s">
        <v>286</v>
      </c>
      <c r="L222" s="307"/>
      <c r="M222" s="307" t="s">
        <v>286</v>
      </c>
      <c r="N222" s="307" t="s">
        <v>286</v>
      </c>
      <c r="O222" s="307" t="s">
        <v>286</v>
      </c>
      <c r="P222" s="307" t="s">
        <v>286</v>
      </c>
      <c r="Q222" s="307" t="s">
        <v>286</v>
      </c>
      <c r="R222" s="307" t="s">
        <v>286</v>
      </c>
      <c r="S222" s="307" t="s">
        <v>286</v>
      </c>
      <c r="T222" s="307" t="s">
        <v>286</v>
      </c>
    </row>
    <row r="223" spans="1:20" s="283" customFormat="1" x14ac:dyDescent="0.2">
      <c r="A223" s="289" t="s">
        <v>792</v>
      </c>
      <c r="B223" s="136" t="s">
        <v>547</v>
      </c>
      <c r="C223" s="288" t="s">
        <v>748</v>
      </c>
      <c r="D223" s="305" t="s">
        <v>286</v>
      </c>
      <c r="E223" s="305" t="s">
        <v>286</v>
      </c>
      <c r="F223" s="307" t="s">
        <v>286</v>
      </c>
      <c r="G223" s="307">
        <v>73.619200000000006</v>
      </c>
      <c r="H223" s="307">
        <v>124.79345000000001</v>
      </c>
      <c r="I223" s="307">
        <v>0</v>
      </c>
      <c r="J223" s="312">
        <v>25.42511</v>
      </c>
      <c r="K223" s="335"/>
      <c r="L223" s="307">
        <v>18.003</v>
      </c>
      <c r="M223" s="307"/>
      <c r="N223" s="307" t="s">
        <v>286</v>
      </c>
      <c r="O223" s="307"/>
      <c r="P223" s="307" t="s">
        <v>286</v>
      </c>
      <c r="Q223" s="307" t="s">
        <v>286</v>
      </c>
      <c r="R223" s="307" t="s">
        <v>286</v>
      </c>
      <c r="S223" s="326">
        <f t="shared" ref="S223:S224" si="80">G223+I223+K223+O223+M223</f>
        <v>73.619200000000006</v>
      </c>
      <c r="T223" s="307" t="s">
        <v>286</v>
      </c>
    </row>
    <row r="224" spans="1:20" s="283" customFormat="1" x14ac:dyDescent="0.25">
      <c r="A224" s="289" t="s">
        <v>550</v>
      </c>
      <c r="B224" s="269" t="s">
        <v>56</v>
      </c>
      <c r="C224" s="288" t="s">
        <v>748</v>
      </c>
      <c r="D224" s="305" t="s">
        <v>286</v>
      </c>
      <c r="E224" s="305" t="s">
        <v>286</v>
      </c>
      <c r="F224" s="307" t="s">
        <v>286</v>
      </c>
      <c r="G224" s="307">
        <v>1.5</v>
      </c>
      <c r="H224" s="307" t="s">
        <v>286</v>
      </c>
      <c r="I224" s="307">
        <v>0</v>
      </c>
      <c r="J224" s="307" t="s">
        <v>286</v>
      </c>
      <c r="K224" s="307"/>
      <c r="L224" s="307">
        <v>2.1304699999999999</v>
      </c>
      <c r="M224" s="307"/>
      <c r="N224" s="307" t="s">
        <v>286</v>
      </c>
      <c r="O224" s="307">
        <f>1.25*1.2</f>
        <v>1.5</v>
      </c>
      <c r="P224" s="307" t="s">
        <v>286</v>
      </c>
      <c r="Q224" s="307" t="s">
        <v>286</v>
      </c>
      <c r="R224" s="307" t="s">
        <v>286</v>
      </c>
      <c r="S224" s="326">
        <f t="shared" si="80"/>
        <v>3</v>
      </c>
      <c r="T224" s="307" t="s">
        <v>286</v>
      </c>
    </row>
    <row r="225" spans="1:20" s="283" customFormat="1" x14ac:dyDescent="0.25">
      <c r="A225" s="289" t="s">
        <v>551</v>
      </c>
      <c r="B225" s="269" t="s">
        <v>1069</v>
      </c>
      <c r="C225" s="288" t="s">
        <v>748</v>
      </c>
      <c r="D225" s="305" t="s">
        <v>286</v>
      </c>
      <c r="E225" s="305" t="s">
        <v>286</v>
      </c>
      <c r="F225" s="307" t="s">
        <v>286</v>
      </c>
      <c r="G225" s="307" t="s">
        <v>286</v>
      </c>
      <c r="H225" s="307" t="s">
        <v>286</v>
      </c>
      <c r="I225" s="307" t="s">
        <v>286</v>
      </c>
      <c r="J225" s="307" t="s">
        <v>286</v>
      </c>
      <c r="K225" s="307" t="s">
        <v>286</v>
      </c>
      <c r="L225" s="307" t="s">
        <v>286</v>
      </c>
      <c r="M225" s="307" t="s">
        <v>286</v>
      </c>
      <c r="N225" s="307" t="s">
        <v>286</v>
      </c>
      <c r="O225" s="307" t="s">
        <v>286</v>
      </c>
      <c r="P225" s="307" t="s">
        <v>286</v>
      </c>
      <c r="Q225" s="307" t="s">
        <v>286</v>
      </c>
      <c r="R225" s="307" t="s">
        <v>286</v>
      </c>
      <c r="S225" s="307" t="s">
        <v>286</v>
      </c>
      <c r="T225" s="307" t="s">
        <v>286</v>
      </c>
    </row>
    <row r="226" spans="1:20" s="291" customFormat="1" x14ac:dyDescent="0.25">
      <c r="A226" s="298" t="s">
        <v>925</v>
      </c>
      <c r="B226" s="301" t="s">
        <v>863</v>
      </c>
      <c r="C226" s="300" t="s">
        <v>286</v>
      </c>
      <c r="D226" s="300"/>
      <c r="E226" s="325" t="s">
        <v>590</v>
      </c>
      <c r="F226" s="325" t="s">
        <v>590</v>
      </c>
      <c r="G226" s="325" t="s">
        <v>590</v>
      </c>
      <c r="H226" s="325" t="s">
        <v>590</v>
      </c>
      <c r="I226" s="325" t="s">
        <v>590</v>
      </c>
      <c r="J226" s="325" t="s">
        <v>590</v>
      </c>
      <c r="K226" s="325" t="s">
        <v>590</v>
      </c>
      <c r="L226" s="325" t="s">
        <v>590</v>
      </c>
      <c r="M226" s="325" t="s">
        <v>590</v>
      </c>
      <c r="N226" s="325" t="s">
        <v>590</v>
      </c>
      <c r="O226" s="325" t="s">
        <v>590</v>
      </c>
      <c r="P226" s="325" t="s">
        <v>590</v>
      </c>
      <c r="Q226" s="325"/>
      <c r="R226" s="325"/>
      <c r="S226" s="325" t="s">
        <v>590</v>
      </c>
      <c r="T226" s="325" t="s">
        <v>590</v>
      </c>
    </row>
    <row r="227" spans="1:20" s="283" customFormat="1" ht="31.5" x14ac:dyDescent="0.25">
      <c r="A227" s="289" t="s">
        <v>926</v>
      </c>
      <c r="B227" s="269" t="s">
        <v>927</v>
      </c>
      <c r="C227" s="288" t="s">
        <v>748</v>
      </c>
      <c r="D227" s="307" t="s">
        <v>286</v>
      </c>
      <c r="E227" s="307" t="s">
        <v>286</v>
      </c>
      <c r="F227" s="307" t="s">
        <v>286</v>
      </c>
      <c r="G227" s="307" t="s">
        <v>286</v>
      </c>
      <c r="H227" s="307" t="s">
        <v>286</v>
      </c>
      <c r="I227" s="307" t="s">
        <v>286</v>
      </c>
      <c r="J227" s="307" t="s">
        <v>286</v>
      </c>
      <c r="K227" s="307" t="s">
        <v>286</v>
      </c>
      <c r="L227" s="307" t="s">
        <v>286</v>
      </c>
      <c r="M227" s="307" t="s">
        <v>286</v>
      </c>
      <c r="N227" s="307" t="s">
        <v>286</v>
      </c>
      <c r="O227" s="307" t="s">
        <v>286</v>
      </c>
      <c r="P227" s="307" t="s">
        <v>286</v>
      </c>
      <c r="Q227" s="307" t="s">
        <v>286</v>
      </c>
      <c r="R227" s="307" t="s">
        <v>286</v>
      </c>
      <c r="S227" s="307" t="s">
        <v>286</v>
      </c>
      <c r="T227" s="307" t="s">
        <v>286</v>
      </c>
    </row>
    <row r="228" spans="1:20" s="283" customFormat="1" x14ac:dyDescent="0.2">
      <c r="A228" s="298" t="s">
        <v>552</v>
      </c>
      <c r="B228" s="299" t="s">
        <v>1026</v>
      </c>
      <c r="C228" s="300" t="s">
        <v>748</v>
      </c>
      <c r="D228" s="303">
        <f>D229+D230</f>
        <v>548.41999999999996</v>
      </c>
      <c r="E228" s="303">
        <f t="shared" ref="E228:J228" si="81">E229+E230</f>
        <v>449.78</v>
      </c>
      <c r="F228" s="303">
        <f t="shared" si="81"/>
        <v>752.97</v>
      </c>
      <c r="G228" s="303">
        <f t="shared" si="81"/>
        <v>342.04</v>
      </c>
      <c r="H228" s="303">
        <f t="shared" si="81"/>
        <v>1107.26242</v>
      </c>
      <c r="I228" s="303">
        <f t="shared" si="81"/>
        <v>552.44600000000003</v>
      </c>
      <c r="J228" s="303">
        <f t="shared" si="81"/>
        <v>1618.0039000000002</v>
      </c>
      <c r="K228" s="303">
        <f>K229+K230</f>
        <v>453.25</v>
      </c>
      <c r="L228" s="303">
        <f>L229+L230</f>
        <v>1523.7779599999999</v>
      </c>
      <c r="M228" s="303">
        <f>M229+M230</f>
        <v>602.66600000000005</v>
      </c>
      <c r="N228" s="324"/>
      <c r="O228" s="303">
        <f>O229+O230</f>
        <v>589.45000000000005</v>
      </c>
      <c r="P228" s="324"/>
      <c r="Q228" s="303">
        <f>Q229+Q230</f>
        <v>425.75</v>
      </c>
      <c r="R228" s="303">
        <f>R229+R230</f>
        <v>377.75</v>
      </c>
      <c r="S228" s="327">
        <f t="shared" ref="S228:S231" si="82">G228+I228+K228+O228+M228</f>
        <v>2539.8520000000003</v>
      </c>
      <c r="T228" s="324"/>
    </row>
    <row r="229" spans="1:20" s="283" customFormat="1" x14ac:dyDescent="0.2">
      <c r="A229" s="289" t="s">
        <v>553</v>
      </c>
      <c r="B229" s="269" t="s">
        <v>57</v>
      </c>
      <c r="C229" s="288" t="s">
        <v>748</v>
      </c>
      <c r="D229" s="315">
        <v>4.42</v>
      </c>
      <c r="E229" s="317">
        <v>2.38</v>
      </c>
      <c r="F229" s="317">
        <v>2.27</v>
      </c>
      <c r="G229" s="330">
        <v>2.04</v>
      </c>
      <c r="H229" s="368">
        <v>5.5624200000000004</v>
      </c>
      <c r="I229" s="312">
        <v>2.4460000000000002</v>
      </c>
      <c r="J229" s="312">
        <v>3.9579</v>
      </c>
      <c r="K229" s="342">
        <v>2.75</v>
      </c>
      <c r="L229" s="307">
        <v>8.7479600000000008</v>
      </c>
      <c r="M229" s="342">
        <v>5.9660000000000002</v>
      </c>
      <c r="N229" s="314"/>
      <c r="O229" s="342">
        <v>2.75</v>
      </c>
      <c r="P229" s="314"/>
      <c r="Q229" s="342">
        <v>2.75</v>
      </c>
      <c r="R229" s="342">
        <v>2.75</v>
      </c>
      <c r="S229" s="326">
        <f t="shared" si="82"/>
        <v>15.952000000000002</v>
      </c>
      <c r="T229" s="307" t="s">
        <v>286</v>
      </c>
    </row>
    <row r="230" spans="1:20" s="283" customFormat="1" x14ac:dyDescent="0.2">
      <c r="A230" s="289" t="s">
        <v>554</v>
      </c>
      <c r="B230" s="269" t="s">
        <v>1027</v>
      </c>
      <c r="C230" s="288" t="s">
        <v>748</v>
      </c>
      <c r="D230" s="341">
        <v>544</v>
      </c>
      <c r="E230" s="317">
        <v>447.4</v>
      </c>
      <c r="F230" s="317">
        <v>750.7</v>
      </c>
      <c r="G230" s="330">
        <v>340</v>
      </c>
      <c r="H230" s="368">
        <f>H231</f>
        <v>1101.7</v>
      </c>
      <c r="I230" s="312">
        <v>550</v>
      </c>
      <c r="J230" s="312">
        <v>1614.046</v>
      </c>
      <c r="K230" s="342">
        <v>450.5</v>
      </c>
      <c r="L230" s="314">
        <v>1515.03</v>
      </c>
      <c r="M230" s="335">
        <f>M231</f>
        <v>596.70000000000005</v>
      </c>
      <c r="N230" s="307"/>
      <c r="O230" s="335">
        <f>O231</f>
        <v>586.70000000000005</v>
      </c>
      <c r="P230" s="314"/>
      <c r="Q230" s="335">
        <f>Q231</f>
        <v>423</v>
      </c>
      <c r="R230" s="335">
        <v>375</v>
      </c>
      <c r="S230" s="326">
        <f t="shared" si="82"/>
        <v>2523.9</v>
      </c>
      <c r="T230" s="307" t="s">
        <v>286</v>
      </c>
    </row>
    <row r="231" spans="1:20" s="283" customFormat="1" x14ac:dyDescent="0.2">
      <c r="A231" s="289" t="s">
        <v>606</v>
      </c>
      <c r="B231" s="136" t="s">
        <v>1065</v>
      </c>
      <c r="C231" s="288" t="s">
        <v>748</v>
      </c>
      <c r="D231" s="341">
        <v>544</v>
      </c>
      <c r="E231" s="317">
        <v>447.4</v>
      </c>
      <c r="F231" s="317">
        <v>750.7</v>
      </c>
      <c r="G231" s="330">
        <v>340</v>
      </c>
      <c r="H231" s="368">
        <v>1101.7</v>
      </c>
      <c r="I231" s="312">
        <v>550</v>
      </c>
      <c r="J231" s="312">
        <v>1614.046</v>
      </c>
      <c r="K231" s="342">
        <v>450.5</v>
      </c>
      <c r="L231" s="314">
        <v>1515.03</v>
      </c>
      <c r="M231" s="335">
        <f>556.7+40</f>
        <v>596.70000000000005</v>
      </c>
      <c r="N231" s="307"/>
      <c r="O231" s="335">
        <f>556.7+30</f>
        <v>586.70000000000005</v>
      </c>
      <c r="P231" s="314"/>
      <c r="Q231" s="335">
        <v>423</v>
      </c>
      <c r="R231" s="335">
        <v>375</v>
      </c>
      <c r="S231" s="326">
        <f t="shared" si="82"/>
        <v>2523.9</v>
      </c>
      <c r="T231" s="307" t="s">
        <v>286</v>
      </c>
    </row>
    <row r="232" spans="1:20" s="283" customFormat="1" x14ac:dyDescent="0.25">
      <c r="A232" s="289" t="s">
        <v>607</v>
      </c>
      <c r="B232" s="136" t="s">
        <v>1071</v>
      </c>
      <c r="C232" s="288" t="s">
        <v>748</v>
      </c>
      <c r="D232" s="307" t="s">
        <v>286</v>
      </c>
      <c r="E232" s="307" t="s">
        <v>286</v>
      </c>
      <c r="F232" s="307" t="s">
        <v>286</v>
      </c>
      <c r="G232" s="307" t="s">
        <v>286</v>
      </c>
      <c r="H232" s="307" t="s">
        <v>286</v>
      </c>
      <c r="I232" s="307" t="s">
        <v>286</v>
      </c>
      <c r="J232" s="307" t="s">
        <v>286</v>
      </c>
      <c r="K232" s="307" t="s">
        <v>286</v>
      </c>
      <c r="L232" s="307" t="s">
        <v>286</v>
      </c>
      <c r="M232" s="307" t="s">
        <v>286</v>
      </c>
      <c r="N232" s="307" t="s">
        <v>286</v>
      </c>
      <c r="O232" s="307" t="s">
        <v>286</v>
      </c>
      <c r="P232" s="307" t="s">
        <v>286</v>
      </c>
      <c r="Q232" s="307" t="s">
        <v>286</v>
      </c>
      <c r="R232" s="307" t="s">
        <v>286</v>
      </c>
      <c r="S232" s="307" t="s">
        <v>286</v>
      </c>
      <c r="T232" s="307" t="s">
        <v>286</v>
      </c>
    </row>
    <row r="233" spans="1:20" s="283" customFormat="1" x14ac:dyDescent="0.25">
      <c r="A233" s="289" t="s">
        <v>642</v>
      </c>
      <c r="B233" s="136" t="s">
        <v>61</v>
      </c>
      <c r="C233" s="288" t="s">
        <v>748</v>
      </c>
      <c r="D233" s="307" t="s">
        <v>286</v>
      </c>
      <c r="E233" s="307" t="s">
        <v>286</v>
      </c>
      <c r="F233" s="307" t="s">
        <v>286</v>
      </c>
      <c r="G233" s="307" t="s">
        <v>286</v>
      </c>
      <c r="H233" s="307" t="s">
        <v>286</v>
      </c>
      <c r="I233" s="307" t="s">
        <v>286</v>
      </c>
      <c r="J233" s="307" t="s">
        <v>286</v>
      </c>
      <c r="K233" s="307" t="s">
        <v>286</v>
      </c>
      <c r="L233" s="307" t="s">
        <v>286</v>
      </c>
      <c r="M233" s="307" t="s">
        <v>286</v>
      </c>
      <c r="N233" s="307" t="s">
        <v>286</v>
      </c>
      <c r="O233" s="307" t="s">
        <v>286</v>
      </c>
      <c r="P233" s="307" t="s">
        <v>286</v>
      </c>
      <c r="Q233" s="307" t="s">
        <v>286</v>
      </c>
      <c r="R233" s="307" t="s">
        <v>286</v>
      </c>
      <c r="S233" s="307" t="s">
        <v>286</v>
      </c>
      <c r="T233" s="307" t="s">
        <v>286</v>
      </c>
    </row>
    <row r="234" spans="1:20" s="283" customFormat="1" x14ac:dyDescent="0.25">
      <c r="A234" s="289" t="s">
        <v>555</v>
      </c>
      <c r="B234" s="269" t="s">
        <v>1129</v>
      </c>
      <c r="C234" s="288" t="s">
        <v>748</v>
      </c>
      <c r="D234" s="307" t="s">
        <v>286</v>
      </c>
      <c r="E234" s="307" t="s">
        <v>286</v>
      </c>
      <c r="F234" s="307" t="s">
        <v>286</v>
      </c>
      <c r="G234" s="307" t="s">
        <v>286</v>
      </c>
      <c r="H234" s="307" t="s">
        <v>286</v>
      </c>
      <c r="I234" s="307" t="s">
        <v>286</v>
      </c>
      <c r="J234" s="307" t="s">
        <v>286</v>
      </c>
      <c r="K234" s="307" t="s">
        <v>286</v>
      </c>
      <c r="L234" s="307" t="s">
        <v>286</v>
      </c>
      <c r="M234" s="307" t="s">
        <v>286</v>
      </c>
      <c r="N234" s="307" t="s">
        <v>286</v>
      </c>
      <c r="O234" s="307" t="s">
        <v>286</v>
      </c>
      <c r="P234" s="307" t="s">
        <v>286</v>
      </c>
      <c r="Q234" s="307" t="s">
        <v>286</v>
      </c>
      <c r="R234" s="307" t="s">
        <v>286</v>
      </c>
      <c r="S234" s="307" t="s">
        <v>286</v>
      </c>
      <c r="T234" s="307" t="s">
        <v>286</v>
      </c>
    </row>
    <row r="235" spans="1:20" s="283" customFormat="1" ht="16.5" customHeight="1" x14ac:dyDescent="0.25">
      <c r="A235" s="289" t="s">
        <v>556</v>
      </c>
      <c r="B235" s="269" t="s">
        <v>1028</v>
      </c>
      <c r="C235" s="288" t="s">
        <v>748</v>
      </c>
      <c r="D235" s="307" t="s">
        <v>286</v>
      </c>
      <c r="E235" s="307" t="s">
        <v>286</v>
      </c>
      <c r="F235" s="307" t="s">
        <v>286</v>
      </c>
      <c r="G235" s="307" t="s">
        <v>286</v>
      </c>
      <c r="H235" s="307" t="s">
        <v>286</v>
      </c>
      <c r="I235" s="307" t="s">
        <v>286</v>
      </c>
      <c r="J235" s="307" t="s">
        <v>286</v>
      </c>
      <c r="K235" s="307" t="s">
        <v>286</v>
      </c>
      <c r="L235" s="307" t="s">
        <v>286</v>
      </c>
      <c r="M235" s="307" t="s">
        <v>286</v>
      </c>
      <c r="N235" s="307" t="s">
        <v>286</v>
      </c>
      <c r="O235" s="307" t="s">
        <v>286</v>
      </c>
      <c r="P235" s="307" t="s">
        <v>286</v>
      </c>
      <c r="Q235" s="307" t="s">
        <v>286</v>
      </c>
      <c r="R235" s="307" t="s">
        <v>286</v>
      </c>
      <c r="S235" s="307" t="s">
        <v>286</v>
      </c>
      <c r="T235" s="307" t="s">
        <v>286</v>
      </c>
    </row>
    <row r="236" spans="1:20" s="283" customFormat="1" x14ac:dyDescent="0.25">
      <c r="A236" s="289" t="s">
        <v>660</v>
      </c>
      <c r="B236" s="136" t="s">
        <v>665</v>
      </c>
      <c r="C236" s="288" t="s">
        <v>748</v>
      </c>
      <c r="D236" s="307" t="s">
        <v>286</v>
      </c>
      <c r="E236" s="307" t="s">
        <v>286</v>
      </c>
      <c r="F236" s="307" t="s">
        <v>286</v>
      </c>
      <c r="G236" s="307" t="s">
        <v>286</v>
      </c>
      <c r="H236" s="307" t="s">
        <v>286</v>
      </c>
      <c r="I236" s="307" t="s">
        <v>286</v>
      </c>
      <c r="J236" s="307" t="s">
        <v>286</v>
      </c>
      <c r="K236" s="307" t="s">
        <v>286</v>
      </c>
      <c r="L236" s="307" t="s">
        <v>286</v>
      </c>
      <c r="M236" s="307" t="s">
        <v>286</v>
      </c>
      <c r="N236" s="307" t="s">
        <v>286</v>
      </c>
      <c r="O236" s="307" t="s">
        <v>286</v>
      </c>
      <c r="P236" s="307" t="s">
        <v>286</v>
      </c>
      <c r="Q236" s="307" t="s">
        <v>286</v>
      </c>
      <c r="R236" s="307" t="s">
        <v>286</v>
      </c>
      <c r="S236" s="307" t="s">
        <v>286</v>
      </c>
      <c r="T236" s="307" t="s">
        <v>286</v>
      </c>
    </row>
    <row r="237" spans="1:20" s="283" customFormat="1" x14ac:dyDescent="0.25">
      <c r="A237" s="289" t="s">
        <v>661</v>
      </c>
      <c r="B237" s="136" t="s">
        <v>1157</v>
      </c>
      <c r="C237" s="288" t="s">
        <v>748</v>
      </c>
      <c r="D237" s="307" t="s">
        <v>286</v>
      </c>
      <c r="E237" s="307" t="s">
        <v>286</v>
      </c>
      <c r="F237" s="307" t="s">
        <v>286</v>
      </c>
      <c r="G237" s="307" t="s">
        <v>286</v>
      </c>
      <c r="H237" s="307" t="s">
        <v>286</v>
      </c>
      <c r="I237" s="307" t="s">
        <v>286</v>
      </c>
      <c r="J237" s="307" t="s">
        <v>286</v>
      </c>
      <c r="K237" s="307" t="s">
        <v>286</v>
      </c>
      <c r="L237" s="307" t="s">
        <v>286</v>
      </c>
      <c r="M237" s="307" t="s">
        <v>286</v>
      </c>
      <c r="N237" s="307" t="s">
        <v>286</v>
      </c>
      <c r="O237" s="307" t="s">
        <v>286</v>
      </c>
      <c r="P237" s="307" t="s">
        <v>286</v>
      </c>
      <c r="Q237" s="307" t="s">
        <v>286</v>
      </c>
      <c r="R237" s="307" t="s">
        <v>286</v>
      </c>
      <c r="S237" s="307" t="s">
        <v>286</v>
      </c>
      <c r="T237" s="307" t="s">
        <v>286</v>
      </c>
    </row>
    <row r="238" spans="1:20" s="283" customFormat="1" x14ac:dyDescent="0.25">
      <c r="A238" s="289" t="s">
        <v>662</v>
      </c>
      <c r="B238" s="269" t="s">
        <v>640</v>
      </c>
      <c r="C238" s="288" t="s">
        <v>748</v>
      </c>
      <c r="D238" s="307" t="s">
        <v>286</v>
      </c>
      <c r="E238" s="307" t="s">
        <v>286</v>
      </c>
      <c r="F238" s="307" t="s">
        <v>286</v>
      </c>
      <c r="G238" s="307" t="s">
        <v>286</v>
      </c>
      <c r="H238" s="307" t="s">
        <v>286</v>
      </c>
      <c r="I238" s="307" t="s">
        <v>286</v>
      </c>
      <c r="J238" s="307" t="s">
        <v>286</v>
      </c>
      <c r="K238" s="307" t="s">
        <v>286</v>
      </c>
      <c r="L238" s="307" t="s">
        <v>286</v>
      </c>
      <c r="M238" s="307" t="s">
        <v>286</v>
      </c>
      <c r="N238" s="307" t="s">
        <v>286</v>
      </c>
      <c r="O238" s="307" t="s">
        <v>286</v>
      </c>
      <c r="P238" s="307" t="s">
        <v>286</v>
      </c>
      <c r="Q238" s="307" t="s">
        <v>286</v>
      </c>
      <c r="R238" s="307" t="s">
        <v>286</v>
      </c>
      <c r="S238" s="307" t="s">
        <v>286</v>
      </c>
      <c r="T238" s="307" t="s">
        <v>286</v>
      </c>
    </row>
    <row r="239" spans="1:20" s="283" customFormat="1" x14ac:dyDescent="0.25">
      <c r="A239" s="289" t="s">
        <v>663</v>
      </c>
      <c r="B239" s="269" t="s">
        <v>641</v>
      </c>
      <c r="C239" s="288" t="s">
        <v>748</v>
      </c>
      <c r="D239" s="307" t="s">
        <v>286</v>
      </c>
      <c r="E239" s="307" t="s">
        <v>286</v>
      </c>
      <c r="F239" s="307" t="s">
        <v>286</v>
      </c>
      <c r="G239" s="307" t="s">
        <v>286</v>
      </c>
      <c r="H239" s="307" t="s">
        <v>286</v>
      </c>
      <c r="I239" s="307" t="s">
        <v>286</v>
      </c>
      <c r="J239" s="307" t="s">
        <v>286</v>
      </c>
      <c r="K239" s="307" t="s">
        <v>286</v>
      </c>
      <c r="L239" s="307" t="s">
        <v>286</v>
      </c>
      <c r="M239" s="307" t="s">
        <v>286</v>
      </c>
      <c r="N239" s="307" t="s">
        <v>286</v>
      </c>
      <c r="O239" s="307" t="s">
        <v>286</v>
      </c>
      <c r="P239" s="307" t="s">
        <v>286</v>
      </c>
      <c r="Q239" s="307" t="s">
        <v>286</v>
      </c>
      <c r="R239" s="307" t="s">
        <v>286</v>
      </c>
      <c r="S239" s="307" t="s">
        <v>286</v>
      </c>
      <c r="T239" s="307" t="s">
        <v>286</v>
      </c>
    </row>
    <row r="240" spans="1:20" s="283" customFormat="1" x14ac:dyDescent="0.25">
      <c r="A240" s="289" t="s">
        <v>664</v>
      </c>
      <c r="B240" s="269" t="s">
        <v>1066</v>
      </c>
      <c r="C240" s="288" t="s">
        <v>748</v>
      </c>
      <c r="D240" s="307" t="s">
        <v>286</v>
      </c>
      <c r="E240" s="307" t="s">
        <v>286</v>
      </c>
      <c r="F240" s="307" t="s">
        <v>286</v>
      </c>
      <c r="G240" s="307" t="s">
        <v>286</v>
      </c>
      <c r="H240" s="307" t="s">
        <v>286</v>
      </c>
      <c r="I240" s="307" t="s">
        <v>286</v>
      </c>
      <c r="J240" s="307" t="s">
        <v>286</v>
      </c>
      <c r="K240" s="307" t="s">
        <v>286</v>
      </c>
      <c r="L240" s="307" t="s">
        <v>286</v>
      </c>
      <c r="M240" s="307" t="s">
        <v>286</v>
      </c>
      <c r="N240" s="307" t="s">
        <v>286</v>
      </c>
      <c r="O240" s="307" t="s">
        <v>286</v>
      </c>
      <c r="P240" s="307" t="s">
        <v>286</v>
      </c>
      <c r="Q240" s="307" t="s">
        <v>286</v>
      </c>
      <c r="R240" s="307" t="s">
        <v>286</v>
      </c>
      <c r="S240" s="307" t="s">
        <v>286</v>
      </c>
      <c r="T240" s="307" t="s">
        <v>286</v>
      </c>
    </row>
    <row r="241" spans="1:20" s="283" customFormat="1" x14ac:dyDescent="0.2">
      <c r="A241" s="298" t="s">
        <v>557</v>
      </c>
      <c r="B241" s="299" t="s">
        <v>1029</v>
      </c>
      <c r="C241" s="300" t="s">
        <v>748</v>
      </c>
      <c r="D241" s="303">
        <f>D242</f>
        <v>547</v>
      </c>
      <c r="E241" s="303">
        <f t="shared" ref="E241:R241" si="83">E242</f>
        <v>417</v>
      </c>
      <c r="F241" s="303">
        <f t="shared" si="83"/>
        <v>731.3</v>
      </c>
      <c r="G241" s="303">
        <f>G242+G246</f>
        <v>325</v>
      </c>
      <c r="H241" s="303">
        <f t="shared" ref="H241:J241" si="84">H242+H246</f>
        <v>1039.7173499999999</v>
      </c>
      <c r="I241" s="303">
        <f t="shared" si="84"/>
        <v>480</v>
      </c>
      <c r="J241" s="303">
        <f t="shared" si="84"/>
        <v>1636.4368140000001</v>
      </c>
      <c r="K241" s="303">
        <f t="shared" si="83"/>
        <v>319.5</v>
      </c>
      <c r="L241" s="303">
        <f>L242+L246+L247</f>
        <v>1517.48179</v>
      </c>
      <c r="M241" s="303">
        <f>M242+M246</f>
        <v>602.39499999999998</v>
      </c>
      <c r="N241" s="324"/>
      <c r="O241" s="303">
        <f t="shared" si="83"/>
        <v>600</v>
      </c>
      <c r="P241" s="324"/>
      <c r="Q241" s="303">
        <f t="shared" si="83"/>
        <v>408</v>
      </c>
      <c r="R241" s="303">
        <f t="shared" si="83"/>
        <v>408</v>
      </c>
      <c r="S241" s="327">
        <f t="shared" ref="S241" si="85">G241+I241+K241+O241+M241</f>
        <v>2326.895</v>
      </c>
      <c r="T241" s="324"/>
    </row>
    <row r="242" spans="1:20" s="283" customFormat="1" x14ac:dyDescent="0.25">
      <c r="A242" s="289" t="s">
        <v>558</v>
      </c>
      <c r="B242" s="269" t="s">
        <v>1158</v>
      </c>
      <c r="C242" s="288" t="s">
        <v>748</v>
      </c>
      <c r="D242" s="305">
        <v>547</v>
      </c>
      <c r="E242" s="305">
        <v>417</v>
      </c>
      <c r="F242" s="307">
        <v>731.3</v>
      </c>
      <c r="G242" s="307">
        <v>325</v>
      </c>
      <c r="H242" s="307">
        <v>1038.5</v>
      </c>
      <c r="I242" s="307">
        <v>480</v>
      </c>
      <c r="J242" s="307">
        <v>1634.546</v>
      </c>
      <c r="K242" s="307">
        <f>K243</f>
        <v>319.5</v>
      </c>
      <c r="L242" s="307">
        <v>1465.5340000000001</v>
      </c>
      <c r="M242" s="307">
        <f>M243</f>
        <v>600</v>
      </c>
      <c r="N242" s="307" t="s">
        <v>286</v>
      </c>
      <c r="O242" s="307">
        <f>M242</f>
        <v>600</v>
      </c>
      <c r="P242" s="307" t="s">
        <v>286</v>
      </c>
      <c r="Q242" s="307">
        <v>408</v>
      </c>
      <c r="R242" s="307">
        <v>408</v>
      </c>
      <c r="S242" s="326">
        <f t="shared" ref="S242:S243" si="86">G242+I242+K242+O242+M242</f>
        <v>2324.5</v>
      </c>
      <c r="T242" s="307" t="s">
        <v>286</v>
      </c>
    </row>
    <row r="243" spans="1:20" s="283" customFormat="1" x14ac:dyDescent="0.25">
      <c r="A243" s="289" t="s">
        <v>1072</v>
      </c>
      <c r="B243" s="136" t="s">
        <v>1065</v>
      </c>
      <c r="C243" s="288" t="s">
        <v>748</v>
      </c>
      <c r="D243" s="305">
        <v>547</v>
      </c>
      <c r="E243" s="305">
        <v>417</v>
      </c>
      <c r="F243" s="307">
        <v>731.3</v>
      </c>
      <c r="G243" s="307">
        <v>325</v>
      </c>
      <c r="H243" s="307">
        <v>1038.5</v>
      </c>
      <c r="I243" s="307">
        <v>480</v>
      </c>
      <c r="J243" s="307">
        <v>1634.546</v>
      </c>
      <c r="K243" s="307">
        <v>319.5</v>
      </c>
      <c r="L243" s="307">
        <v>1465.5340000000001</v>
      </c>
      <c r="M243" s="307">
        <v>600</v>
      </c>
      <c r="N243" s="307" t="s">
        <v>286</v>
      </c>
      <c r="O243" s="307">
        <v>600</v>
      </c>
      <c r="P243" s="307" t="s">
        <v>286</v>
      </c>
      <c r="Q243" s="307">
        <v>408</v>
      </c>
      <c r="R243" s="307">
        <v>408</v>
      </c>
      <c r="S243" s="326">
        <f t="shared" si="86"/>
        <v>2324.5</v>
      </c>
      <c r="T243" s="307" t="s">
        <v>286</v>
      </c>
    </row>
    <row r="244" spans="1:20" s="283" customFormat="1" x14ac:dyDescent="0.25">
      <c r="A244" s="289" t="s">
        <v>1073</v>
      </c>
      <c r="B244" s="136" t="s">
        <v>1071</v>
      </c>
      <c r="C244" s="288" t="s">
        <v>748</v>
      </c>
      <c r="D244" s="307" t="s">
        <v>286</v>
      </c>
      <c r="E244" s="307" t="s">
        <v>286</v>
      </c>
      <c r="F244" s="307" t="s">
        <v>286</v>
      </c>
      <c r="G244" s="307" t="s">
        <v>286</v>
      </c>
      <c r="H244" s="307" t="s">
        <v>286</v>
      </c>
      <c r="I244" s="307" t="s">
        <v>286</v>
      </c>
      <c r="J244" s="307" t="s">
        <v>286</v>
      </c>
      <c r="K244" s="307" t="s">
        <v>286</v>
      </c>
      <c r="L244" s="307" t="s">
        <v>286</v>
      </c>
      <c r="M244" s="307" t="s">
        <v>286</v>
      </c>
      <c r="N244" s="307" t="s">
        <v>286</v>
      </c>
      <c r="O244" s="307" t="s">
        <v>286</v>
      </c>
      <c r="P244" s="307" t="s">
        <v>286</v>
      </c>
      <c r="Q244" s="307" t="s">
        <v>286</v>
      </c>
      <c r="R244" s="307" t="s">
        <v>286</v>
      </c>
      <c r="S244" s="307" t="s">
        <v>286</v>
      </c>
      <c r="T244" s="307" t="s">
        <v>286</v>
      </c>
    </row>
    <row r="245" spans="1:20" s="283" customFormat="1" x14ac:dyDescent="0.25">
      <c r="A245" s="289" t="s">
        <v>1074</v>
      </c>
      <c r="B245" s="136" t="s">
        <v>61</v>
      </c>
      <c r="C245" s="288" t="s">
        <v>748</v>
      </c>
      <c r="D245" s="307" t="s">
        <v>286</v>
      </c>
      <c r="E245" s="307" t="s">
        <v>286</v>
      </c>
      <c r="F245" s="307" t="s">
        <v>286</v>
      </c>
      <c r="G245" s="307" t="s">
        <v>286</v>
      </c>
      <c r="H245" s="307" t="s">
        <v>286</v>
      </c>
      <c r="I245" s="307" t="s">
        <v>286</v>
      </c>
      <c r="J245" s="307" t="s">
        <v>286</v>
      </c>
      <c r="K245" s="307" t="s">
        <v>286</v>
      </c>
      <c r="L245" s="307" t="s">
        <v>286</v>
      </c>
      <c r="M245" s="307" t="s">
        <v>286</v>
      </c>
      <c r="N245" s="307" t="s">
        <v>286</v>
      </c>
      <c r="O245" s="307" t="s">
        <v>286</v>
      </c>
      <c r="P245" s="307" t="s">
        <v>286</v>
      </c>
      <c r="Q245" s="307" t="s">
        <v>286</v>
      </c>
      <c r="R245" s="307" t="s">
        <v>286</v>
      </c>
      <c r="S245" s="307" t="s">
        <v>286</v>
      </c>
      <c r="T245" s="307" t="s">
        <v>286</v>
      </c>
    </row>
    <row r="246" spans="1:20" s="285" customFormat="1" x14ac:dyDescent="0.2">
      <c r="A246" s="289" t="s">
        <v>559</v>
      </c>
      <c r="B246" s="269" t="s">
        <v>14</v>
      </c>
      <c r="C246" s="288" t="s">
        <v>748</v>
      </c>
      <c r="D246" s="315" t="s">
        <v>286</v>
      </c>
      <c r="E246" s="288" t="s">
        <v>286</v>
      </c>
      <c r="F246" s="288" t="s">
        <v>286</v>
      </c>
      <c r="G246" s="312">
        <v>0</v>
      </c>
      <c r="H246" s="330">
        <v>1.2173499999999999</v>
      </c>
      <c r="I246" s="330">
        <v>0</v>
      </c>
      <c r="J246" s="330">
        <v>1.890814</v>
      </c>
      <c r="K246" s="342"/>
      <c r="L246" s="307">
        <v>1.9477899999999999</v>
      </c>
      <c r="M246" s="317">
        <v>2.395</v>
      </c>
      <c r="N246" s="307" t="s">
        <v>286</v>
      </c>
      <c r="O246" s="313"/>
      <c r="P246" s="307" t="s">
        <v>286</v>
      </c>
      <c r="Q246" s="307" t="s">
        <v>286</v>
      </c>
      <c r="R246" s="307" t="s">
        <v>286</v>
      </c>
      <c r="S246" s="326">
        <f t="shared" ref="S246" si="87">G246+I246+K246+O246+M246</f>
        <v>2.395</v>
      </c>
      <c r="T246" s="307" t="s">
        <v>286</v>
      </c>
    </row>
    <row r="247" spans="1:20" s="283" customFormat="1" x14ac:dyDescent="0.2">
      <c r="A247" s="289" t="s">
        <v>1107</v>
      </c>
      <c r="B247" s="269" t="s">
        <v>1067</v>
      </c>
      <c r="C247" s="288" t="s">
        <v>748</v>
      </c>
      <c r="D247" s="307" t="s">
        <v>286</v>
      </c>
      <c r="E247" s="307" t="s">
        <v>286</v>
      </c>
      <c r="F247" s="307" t="s">
        <v>286</v>
      </c>
      <c r="G247" s="307" t="s">
        <v>286</v>
      </c>
      <c r="H247" s="307" t="s">
        <v>286</v>
      </c>
      <c r="I247" s="307" t="s">
        <v>286</v>
      </c>
      <c r="J247" s="307" t="s">
        <v>286</v>
      </c>
      <c r="K247" s="307" t="s">
        <v>286</v>
      </c>
      <c r="L247" s="307">
        <v>50</v>
      </c>
      <c r="M247" s="307" t="s">
        <v>286</v>
      </c>
      <c r="N247" s="307" t="s">
        <v>286</v>
      </c>
      <c r="O247" s="307" t="s">
        <v>286</v>
      </c>
      <c r="P247" s="307" t="s">
        <v>286</v>
      </c>
      <c r="Q247" s="307" t="s">
        <v>286</v>
      </c>
      <c r="R247" s="307" t="s">
        <v>286</v>
      </c>
      <c r="S247" s="313"/>
      <c r="T247" s="307" t="s">
        <v>286</v>
      </c>
    </row>
    <row r="248" spans="1:20" s="283" customFormat="1" ht="31.5" x14ac:dyDescent="0.2">
      <c r="A248" s="298" t="s">
        <v>560</v>
      </c>
      <c r="B248" s="299" t="s">
        <v>1156</v>
      </c>
      <c r="C248" s="300" t="s">
        <v>748</v>
      </c>
      <c r="D248" s="303">
        <f>D173-D191</f>
        <v>122.40000000000009</v>
      </c>
      <c r="E248" s="303">
        <f t="shared" ref="E248:J248" si="88">E173-E191</f>
        <v>101.03999999999996</v>
      </c>
      <c r="F248" s="303">
        <f t="shared" si="88"/>
        <v>-454.65575600000057</v>
      </c>
      <c r="G248" s="303">
        <f t="shared" si="88"/>
        <v>224.38839800000005</v>
      </c>
      <c r="H248" s="303">
        <f t="shared" si="88"/>
        <v>207.42311000000109</v>
      </c>
      <c r="I248" s="303">
        <f t="shared" si="88"/>
        <v>183.75065600000062</v>
      </c>
      <c r="J248" s="303">
        <f t="shared" si="88"/>
        <v>334.23185999999987</v>
      </c>
      <c r="K248" s="303">
        <f>K173-K191</f>
        <v>179.91630400000031</v>
      </c>
      <c r="L248" s="303">
        <f>L173-L191</f>
        <v>260.79607000000033</v>
      </c>
      <c r="M248" s="303">
        <f t="shared" ref="M248" si="89">M173-M191</f>
        <v>181.00293620999946</v>
      </c>
      <c r="N248" s="324"/>
      <c r="O248" s="303">
        <f t="shared" ref="O248:R248" si="90">O173-O191</f>
        <v>347.52665965808001</v>
      </c>
      <c r="P248" s="324"/>
      <c r="Q248" s="303">
        <f t="shared" si="90"/>
        <v>285.95664550405991</v>
      </c>
      <c r="R248" s="303">
        <f t="shared" si="90"/>
        <v>299.54158614572816</v>
      </c>
      <c r="S248" s="327">
        <f t="shared" ref="S248:S249" si="91">G248+I248+K248+O248+M248</f>
        <v>1116.5849538680804</v>
      </c>
      <c r="T248" s="324"/>
    </row>
    <row r="249" spans="1:20" s="283" customFormat="1" ht="31.5" x14ac:dyDescent="0.2">
      <c r="A249" s="298" t="s">
        <v>561</v>
      </c>
      <c r="B249" s="299" t="s">
        <v>1147</v>
      </c>
      <c r="C249" s="300" t="s">
        <v>748</v>
      </c>
      <c r="D249" s="303">
        <f>D209-D216</f>
        <v>-124.08</v>
      </c>
      <c r="E249" s="303">
        <f t="shared" ref="E249:K249" si="92">E209-E216</f>
        <v>-135.19</v>
      </c>
      <c r="F249" s="303">
        <f t="shared" si="92"/>
        <v>-137.04999999999998</v>
      </c>
      <c r="G249" s="303">
        <f t="shared" si="92"/>
        <v>-232.26920000000001</v>
      </c>
      <c r="H249" s="303">
        <f t="shared" si="92"/>
        <v>-258.48147000000006</v>
      </c>
      <c r="I249" s="303">
        <f t="shared" si="92"/>
        <v>-244.94200000000001</v>
      </c>
      <c r="J249" s="303">
        <f t="shared" si="92"/>
        <v>-316.41284000000002</v>
      </c>
      <c r="K249" s="303">
        <f t="shared" si="92"/>
        <v>-251.86</v>
      </c>
      <c r="L249" s="303">
        <f t="shared" ref="L249" si="93">L209-L216</f>
        <v>-283.10501600000003</v>
      </c>
      <c r="M249" s="303">
        <f t="shared" ref="M249" si="94">M209-M216</f>
        <v>-256.50297</v>
      </c>
      <c r="N249" s="324"/>
      <c r="O249" s="303">
        <f t="shared" ref="O249:R249" si="95">O209-O216</f>
        <v>-362.36759999999998</v>
      </c>
      <c r="P249" s="324"/>
      <c r="Q249" s="303">
        <f t="shared" si="95"/>
        <v>-300.738</v>
      </c>
      <c r="R249" s="303">
        <f t="shared" si="95"/>
        <v>-260.73599999999999</v>
      </c>
      <c r="S249" s="327">
        <f t="shared" si="91"/>
        <v>-1347.9417700000001</v>
      </c>
      <c r="T249" s="324"/>
    </row>
    <row r="250" spans="1:20" s="283" customFormat="1" x14ac:dyDescent="0.25">
      <c r="A250" s="289" t="s">
        <v>666</v>
      </c>
      <c r="B250" s="269" t="s">
        <v>1068</v>
      </c>
      <c r="C250" s="288" t="s">
        <v>748</v>
      </c>
      <c r="D250" s="307" t="s">
        <v>286</v>
      </c>
      <c r="E250" s="307" t="s">
        <v>286</v>
      </c>
      <c r="F250" s="307" t="s">
        <v>286</v>
      </c>
      <c r="G250" s="307" t="s">
        <v>286</v>
      </c>
      <c r="H250" s="307" t="s">
        <v>286</v>
      </c>
      <c r="I250" s="307" t="s">
        <v>286</v>
      </c>
      <c r="J250" s="307" t="s">
        <v>286</v>
      </c>
      <c r="K250" s="307" t="s">
        <v>286</v>
      </c>
      <c r="L250" s="307" t="s">
        <v>286</v>
      </c>
      <c r="M250" s="307" t="s">
        <v>286</v>
      </c>
      <c r="N250" s="307" t="s">
        <v>286</v>
      </c>
      <c r="O250" s="307" t="s">
        <v>286</v>
      </c>
      <c r="P250" s="307" t="s">
        <v>286</v>
      </c>
      <c r="Q250" s="307"/>
      <c r="R250" s="307"/>
      <c r="S250" s="307" t="s">
        <v>286</v>
      </c>
      <c r="T250" s="307" t="s">
        <v>286</v>
      </c>
    </row>
    <row r="251" spans="1:20" s="283" customFormat="1" x14ac:dyDescent="0.25">
      <c r="A251" s="289" t="s">
        <v>667</v>
      </c>
      <c r="B251" s="269" t="s">
        <v>49</v>
      </c>
      <c r="C251" s="288" t="s">
        <v>748</v>
      </c>
      <c r="D251" s="307" t="s">
        <v>286</v>
      </c>
      <c r="E251" s="307" t="s">
        <v>286</v>
      </c>
      <c r="F251" s="307" t="s">
        <v>286</v>
      </c>
      <c r="G251" s="307" t="s">
        <v>286</v>
      </c>
      <c r="H251" s="307" t="s">
        <v>286</v>
      </c>
      <c r="I251" s="307" t="s">
        <v>286</v>
      </c>
      <c r="J251" s="307" t="s">
        <v>286</v>
      </c>
      <c r="K251" s="307" t="s">
        <v>286</v>
      </c>
      <c r="L251" s="307" t="s">
        <v>286</v>
      </c>
      <c r="M251" s="307" t="s">
        <v>286</v>
      </c>
      <c r="N251" s="307" t="s">
        <v>286</v>
      </c>
      <c r="O251" s="307" t="s">
        <v>286</v>
      </c>
      <c r="P251" s="307" t="s">
        <v>286</v>
      </c>
      <c r="Q251" s="307"/>
      <c r="R251" s="307"/>
      <c r="S251" s="307" t="s">
        <v>286</v>
      </c>
      <c r="T251" s="307" t="s">
        <v>286</v>
      </c>
    </row>
    <row r="252" spans="1:20" s="283" customFormat="1" ht="31.5" x14ac:dyDescent="0.2">
      <c r="A252" s="298" t="s">
        <v>562</v>
      </c>
      <c r="B252" s="299" t="s">
        <v>1148</v>
      </c>
      <c r="C252" s="300" t="s">
        <v>748</v>
      </c>
      <c r="D252" s="303">
        <f>D228-D241</f>
        <v>1.4199999999999591</v>
      </c>
      <c r="E252" s="303">
        <f t="shared" ref="E252:R252" si="96">E228-E241</f>
        <v>32.779999999999973</v>
      </c>
      <c r="F252" s="303">
        <f t="shared" si="96"/>
        <v>21.670000000000073</v>
      </c>
      <c r="G252" s="303">
        <f t="shared" si="96"/>
        <v>17.04000000000002</v>
      </c>
      <c r="H252" s="303">
        <f t="shared" si="96"/>
        <v>67.545070000000123</v>
      </c>
      <c r="I252" s="303">
        <f t="shared" si="96"/>
        <v>72.446000000000026</v>
      </c>
      <c r="J252" s="303">
        <f t="shared" si="96"/>
        <v>-18.432913999999982</v>
      </c>
      <c r="K252" s="303">
        <f>K228-K241</f>
        <v>133.75</v>
      </c>
      <c r="L252" s="303">
        <f>L228-L241</f>
        <v>6.2961699999998473</v>
      </c>
      <c r="M252" s="303">
        <f t="shared" si="96"/>
        <v>0.27100000000007185</v>
      </c>
      <c r="N252" s="324"/>
      <c r="O252" s="303">
        <f t="shared" si="96"/>
        <v>-10.549999999999955</v>
      </c>
      <c r="P252" s="324"/>
      <c r="Q252" s="303">
        <f t="shared" si="96"/>
        <v>17.75</v>
      </c>
      <c r="R252" s="303">
        <f t="shared" si="96"/>
        <v>-30.25</v>
      </c>
      <c r="S252" s="327">
        <f t="shared" ref="S252:S253" si="97">G252+I252+K252+O252+M252</f>
        <v>212.95700000000016</v>
      </c>
      <c r="T252" s="324"/>
    </row>
    <row r="253" spans="1:20" s="283" customFormat="1" x14ac:dyDescent="0.2">
      <c r="A253" s="289" t="s">
        <v>826</v>
      </c>
      <c r="B253" s="269" t="s">
        <v>862</v>
      </c>
      <c r="C253" s="288" t="s">
        <v>748</v>
      </c>
      <c r="D253" s="329">
        <f t="shared" ref="D253:E253" si="98">D230-D242</f>
        <v>-3</v>
      </c>
      <c r="E253" s="329">
        <f t="shared" si="98"/>
        <v>30.399999999999977</v>
      </c>
      <c r="F253" s="329">
        <f>F230-F242</f>
        <v>19.400000000000091</v>
      </c>
      <c r="G253" s="329">
        <f t="shared" ref="G253:R253" si="99">G230-G242</f>
        <v>15</v>
      </c>
      <c r="H253" s="329">
        <f t="shared" si="99"/>
        <v>63.200000000000045</v>
      </c>
      <c r="I253" s="329">
        <f t="shared" si="99"/>
        <v>70</v>
      </c>
      <c r="J253" s="329">
        <f>J230-J242</f>
        <v>-20.5</v>
      </c>
      <c r="K253" s="329">
        <f t="shared" si="99"/>
        <v>131</v>
      </c>
      <c r="L253" s="329">
        <f t="shared" ref="L253" si="100">L230-L242</f>
        <v>49.495999999999867</v>
      </c>
      <c r="M253" s="329">
        <f t="shared" si="99"/>
        <v>-3.2999999999999545</v>
      </c>
      <c r="N253" s="307" t="s">
        <v>286</v>
      </c>
      <c r="O253" s="329">
        <f t="shared" si="99"/>
        <v>-13.299999999999955</v>
      </c>
      <c r="P253" s="307" t="s">
        <v>286</v>
      </c>
      <c r="Q253" s="329">
        <f t="shared" si="99"/>
        <v>15</v>
      </c>
      <c r="R253" s="329">
        <f t="shared" si="99"/>
        <v>-33</v>
      </c>
      <c r="S253" s="326">
        <f t="shared" si="97"/>
        <v>199.40000000000009</v>
      </c>
      <c r="T253" s="307" t="s">
        <v>286</v>
      </c>
    </row>
    <row r="254" spans="1:20" s="283" customFormat="1" x14ac:dyDescent="0.25">
      <c r="A254" s="289" t="s">
        <v>827</v>
      </c>
      <c r="B254" s="269" t="s">
        <v>825</v>
      </c>
      <c r="C254" s="288" t="s">
        <v>748</v>
      </c>
      <c r="D254" s="307" t="s">
        <v>286</v>
      </c>
      <c r="E254" s="307" t="s">
        <v>286</v>
      </c>
      <c r="F254" s="307" t="s">
        <v>286</v>
      </c>
      <c r="G254" s="307" t="s">
        <v>286</v>
      </c>
      <c r="H254" s="307" t="s">
        <v>286</v>
      </c>
      <c r="I254" s="307" t="s">
        <v>286</v>
      </c>
      <c r="J254" s="307" t="s">
        <v>286</v>
      </c>
      <c r="K254" s="307" t="s">
        <v>286</v>
      </c>
      <c r="L254" s="307" t="s">
        <v>286</v>
      </c>
      <c r="M254" s="307" t="s">
        <v>286</v>
      </c>
      <c r="N254" s="307" t="s">
        <v>286</v>
      </c>
      <c r="O254" s="307" t="s">
        <v>286</v>
      </c>
      <c r="P254" s="307" t="s">
        <v>286</v>
      </c>
      <c r="Q254" s="307" t="s">
        <v>286</v>
      </c>
      <c r="R254" s="307" t="s">
        <v>286</v>
      </c>
      <c r="S254" s="307" t="s">
        <v>286</v>
      </c>
      <c r="T254" s="307" t="s">
        <v>286</v>
      </c>
    </row>
    <row r="255" spans="1:20" s="283" customFormat="1" x14ac:dyDescent="0.2">
      <c r="A255" s="298" t="s">
        <v>563</v>
      </c>
      <c r="B255" s="299" t="s">
        <v>67</v>
      </c>
      <c r="C255" s="300" t="s">
        <v>748</v>
      </c>
      <c r="D255" s="300"/>
      <c r="E255" s="300"/>
      <c r="F255" s="324"/>
      <c r="G255" s="324"/>
      <c r="H255" s="324"/>
      <c r="I255" s="324"/>
      <c r="J255" s="324"/>
      <c r="K255" s="324"/>
      <c r="L255" s="324"/>
      <c r="M255" s="324"/>
      <c r="N255" s="324"/>
      <c r="O255" s="324"/>
      <c r="P255" s="324"/>
      <c r="Q255" s="324"/>
      <c r="R255" s="324"/>
      <c r="S255" s="324"/>
      <c r="T255" s="324"/>
    </row>
    <row r="256" spans="1:20" s="283" customFormat="1" ht="31.5" x14ac:dyDescent="0.2">
      <c r="A256" s="298" t="s">
        <v>564</v>
      </c>
      <c r="B256" s="299" t="s">
        <v>1149</v>
      </c>
      <c r="C256" s="300" t="s">
        <v>748</v>
      </c>
      <c r="D256" s="303">
        <f>D248+D249+D252</f>
        <v>-0.25999999999994827</v>
      </c>
      <c r="E256" s="303">
        <f t="shared" ref="E256:R256" si="101">E248+E249+E252</f>
        <v>-1.3700000000000614</v>
      </c>
      <c r="F256" s="303">
        <f t="shared" si="101"/>
        <v>-570.03575600000045</v>
      </c>
      <c r="G256" s="303">
        <f t="shared" si="101"/>
        <v>9.1591980000000603</v>
      </c>
      <c r="H256" s="303">
        <f t="shared" si="101"/>
        <v>16.486710000001153</v>
      </c>
      <c r="I256" s="303">
        <f t="shared" si="101"/>
        <v>11.254656000000637</v>
      </c>
      <c r="J256" s="303">
        <f t="shared" si="101"/>
        <v>-0.61389400000012984</v>
      </c>
      <c r="K256" s="303">
        <f t="shared" si="101"/>
        <v>61.806304000000296</v>
      </c>
      <c r="L256" s="303">
        <f t="shared" ref="L256" si="102">L248+L249+L252</f>
        <v>-16.01277599999986</v>
      </c>
      <c r="M256" s="303">
        <f t="shared" si="101"/>
        <v>-75.229033790000472</v>
      </c>
      <c r="N256" s="324"/>
      <c r="O256" s="303">
        <f>O248+O249+O252</f>
        <v>-25.390940341919929</v>
      </c>
      <c r="P256" s="324"/>
      <c r="Q256" s="390">
        <f t="shared" si="101"/>
        <v>2.9686455040599071</v>
      </c>
      <c r="R256" s="390">
        <f t="shared" si="101"/>
        <v>8.5555861457281708</v>
      </c>
      <c r="S256" s="327">
        <f t="shared" ref="S256:S258" si="103">G256+I256+K256+O256+M256</f>
        <v>-18.399816131919408</v>
      </c>
      <c r="T256" s="324"/>
    </row>
    <row r="257" spans="1:20" s="283" customFormat="1" x14ac:dyDescent="0.25">
      <c r="A257" s="298" t="s">
        <v>565</v>
      </c>
      <c r="B257" s="299" t="s">
        <v>6</v>
      </c>
      <c r="C257" s="300" t="s">
        <v>748</v>
      </c>
      <c r="D257" s="337">
        <v>34.69</v>
      </c>
      <c r="E257" s="325">
        <v>34.43</v>
      </c>
      <c r="F257" s="325">
        <v>33.06</v>
      </c>
      <c r="G257" s="339">
        <v>23.26</v>
      </c>
      <c r="H257" s="331">
        <f>F258</f>
        <v>23.08</v>
      </c>
      <c r="I257" s="340">
        <v>32.42</v>
      </c>
      <c r="J257" s="308">
        <f>H258</f>
        <v>39.566710000001152</v>
      </c>
      <c r="K257" s="308">
        <f>I258</f>
        <v>43.674656000000638</v>
      </c>
      <c r="L257" s="308">
        <v>38.590105999999416</v>
      </c>
      <c r="M257" s="308">
        <f>K258</f>
        <v>105.48096000000093</v>
      </c>
      <c r="N257" s="333"/>
      <c r="O257" s="308">
        <f>M258</f>
        <v>30.251926210000462</v>
      </c>
      <c r="P257" s="333"/>
      <c r="Q257" s="327">
        <f>O258</f>
        <v>4.8609858680805331</v>
      </c>
      <c r="R257" s="327">
        <f>Q258</f>
        <v>7.8296313721404402</v>
      </c>
      <c r="S257" s="327">
        <f t="shared" si="103"/>
        <v>235.08754221000203</v>
      </c>
      <c r="T257" s="333"/>
    </row>
    <row r="258" spans="1:20" s="283" customFormat="1" x14ac:dyDescent="0.25">
      <c r="A258" s="298" t="s">
        <v>566</v>
      </c>
      <c r="B258" s="299" t="s">
        <v>7</v>
      </c>
      <c r="C258" s="300" t="s">
        <v>748</v>
      </c>
      <c r="D258" s="300">
        <v>34.43</v>
      </c>
      <c r="E258" s="308">
        <v>33.060000000000393</v>
      </c>
      <c r="F258" s="308">
        <v>23.08</v>
      </c>
      <c r="G258" s="331">
        <f>G256+G257</f>
        <v>32.419198000000065</v>
      </c>
      <c r="H258" s="331">
        <f>H256+H257</f>
        <v>39.566710000001152</v>
      </c>
      <c r="I258" s="308">
        <f>I256+I257</f>
        <v>43.674656000000638</v>
      </c>
      <c r="J258" s="308">
        <v>38.590105999999416</v>
      </c>
      <c r="K258" s="308">
        <f>K257+K256</f>
        <v>105.48096000000093</v>
      </c>
      <c r="L258" s="308">
        <f>L257+L256</f>
        <v>22.577329999999556</v>
      </c>
      <c r="M258" s="308">
        <f>M256+M257</f>
        <v>30.251926210000462</v>
      </c>
      <c r="N258" s="333"/>
      <c r="O258" s="308">
        <f>O256+O257</f>
        <v>4.8609858680805331</v>
      </c>
      <c r="P258" s="333"/>
      <c r="Q258" s="327">
        <f>Q256+Q257</f>
        <v>7.8296313721404402</v>
      </c>
      <c r="R258" s="327">
        <f>R256+R257</f>
        <v>16.385217517868611</v>
      </c>
      <c r="S258" s="327">
        <f t="shared" si="103"/>
        <v>216.68772607808268</v>
      </c>
      <c r="T258" s="333"/>
    </row>
    <row r="259" spans="1:20" s="291" customFormat="1" x14ac:dyDescent="0.25">
      <c r="A259" s="298" t="s">
        <v>568</v>
      </c>
      <c r="B259" s="299" t="s">
        <v>863</v>
      </c>
      <c r="C259" s="300" t="s">
        <v>286</v>
      </c>
      <c r="D259" s="338" t="s">
        <v>590</v>
      </c>
      <c r="E259" s="338" t="s">
        <v>590</v>
      </c>
      <c r="F259" s="338" t="s">
        <v>590</v>
      </c>
      <c r="G259" s="302" t="s">
        <v>590</v>
      </c>
      <c r="H259" s="302" t="s">
        <v>590</v>
      </c>
      <c r="I259" s="302" t="s">
        <v>590</v>
      </c>
      <c r="J259" s="302" t="s">
        <v>590</v>
      </c>
      <c r="K259" s="302" t="s">
        <v>590</v>
      </c>
      <c r="L259" s="302" t="s">
        <v>590</v>
      </c>
      <c r="M259" s="302" t="s">
        <v>590</v>
      </c>
      <c r="N259" s="302" t="s">
        <v>590</v>
      </c>
      <c r="O259" s="302" t="s">
        <v>590</v>
      </c>
      <c r="P259" s="302" t="s">
        <v>590</v>
      </c>
      <c r="Q259" s="302"/>
      <c r="R259" s="302"/>
      <c r="S259" s="302" t="s">
        <v>590</v>
      </c>
      <c r="T259" s="302" t="s">
        <v>590</v>
      </c>
    </row>
    <row r="260" spans="1:20" s="283" customFormat="1" x14ac:dyDescent="0.25">
      <c r="A260" s="289" t="s">
        <v>569</v>
      </c>
      <c r="B260" s="269" t="s">
        <v>1030</v>
      </c>
      <c r="C260" s="288" t="s">
        <v>748</v>
      </c>
      <c r="D260" s="288">
        <v>102.39</v>
      </c>
      <c r="E260" s="314">
        <v>27.93</v>
      </c>
      <c r="F260" s="314">
        <v>104.41</v>
      </c>
      <c r="G260" s="328"/>
      <c r="H260" s="314">
        <v>149.9</v>
      </c>
      <c r="I260" s="314"/>
      <c r="J260" s="314">
        <v>158.12</v>
      </c>
      <c r="K260" s="328"/>
      <c r="L260" s="314">
        <v>160.03</v>
      </c>
      <c r="M260" s="328"/>
      <c r="N260" s="280"/>
      <c r="O260" s="280"/>
      <c r="P260" s="280"/>
      <c r="Q260" s="280"/>
      <c r="R260" s="280"/>
      <c r="S260" s="280"/>
      <c r="T260" s="280"/>
    </row>
    <row r="261" spans="1:20" s="283" customFormat="1" ht="31.5" x14ac:dyDescent="0.25">
      <c r="A261" s="289" t="s">
        <v>668</v>
      </c>
      <c r="B261" s="136" t="s">
        <v>1031</v>
      </c>
      <c r="C261" s="288" t="s">
        <v>748</v>
      </c>
      <c r="D261" s="307" t="s">
        <v>286</v>
      </c>
      <c r="E261" s="307" t="s">
        <v>286</v>
      </c>
      <c r="F261" s="307" t="s">
        <v>286</v>
      </c>
      <c r="G261" s="307" t="s">
        <v>286</v>
      </c>
      <c r="H261" s="307" t="s">
        <v>286</v>
      </c>
      <c r="I261" s="307" t="s">
        <v>286</v>
      </c>
      <c r="J261" s="307" t="s">
        <v>286</v>
      </c>
      <c r="K261" s="307" t="s">
        <v>286</v>
      </c>
      <c r="L261" s="307" t="s">
        <v>286</v>
      </c>
      <c r="M261" s="307" t="s">
        <v>286</v>
      </c>
      <c r="N261" s="307" t="s">
        <v>286</v>
      </c>
      <c r="O261" s="307" t="s">
        <v>286</v>
      </c>
      <c r="P261" s="307" t="s">
        <v>286</v>
      </c>
      <c r="Q261" s="307"/>
      <c r="R261" s="307"/>
      <c r="S261" s="307" t="s">
        <v>286</v>
      </c>
      <c r="T261" s="307" t="s">
        <v>286</v>
      </c>
    </row>
    <row r="262" spans="1:20" s="283" customFormat="1" x14ac:dyDescent="0.25">
      <c r="A262" s="289" t="s">
        <v>669</v>
      </c>
      <c r="B262" s="270" t="s">
        <v>62</v>
      </c>
      <c r="C262" s="288" t="s">
        <v>748</v>
      </c>
      <c r="D262" s="307" t="s">
        <v>286</v>
      </c>
      <c r="E262" s="307" t="s">
        <v>286</v>
      </c>
      <c r="F262" s="307" t="s">
        <v>286</v>
      </c>
      <c r="G262" s="307" t="s">
        <v>286</v>
      </c>
      <c r="H262" s="307" t="s">
        <v>286</v>
      </c>
      <c r="I262" s="307" t="s">
        <v>286</v>
      </c>
      <c r="J262" s="307" t="s">
        <v>286</v>
      </c>
      <c r="K262" s="307" t="s">
        <v>286</v>
      </c>
      <c r="L262" s="307" t="s">
        <v>286</v>
      </c>
      <c r="M262" s="307" t="s">
        <v>286</v>
      </c>
      <c r="N262" s="307" t="s">
        <v>286</v>
      </c>
      <c r="O262" s="307" t="s">
        <v>286</v>
      </c>
      <c r="P262" s="307" t="s">
        <v>286</v>
      </c>
      <c r="Q262" s="307"/>
      <c r="R262" s="307"/>
      <c r="S262" s="307" t="s">
        <v>286</v>
      </c>
      <c r="T262" s="307" t="s">
        <v>286</v>
      </c>
    </row>
    <row r="263" spans="1:20" s="283" customFormat="1" ht="31.5" x14ac:dyDescent="0.25">
      <c r="A263" s="289" t="s">
        <v>890</v>
      </c>
      <c r="B263" s="270" t="s">
        <v>897</v>
      </c>
      <c r="C263" s="288" t="s">
        <v>748</v>
      </c>
      <c r="D263" s="307" t="s">
        <v>286</v>
      </c>
      <c r="E263" s="307" t="s">
        <v>286</v>
      </c>
      <c r="F263" s="307" t="s">
        <v>286</v>
      </c>
      <c r="G263" s="307" t="s">
        <v>286</v>
      </c>
      <c r="H263" s="307" t="s">
        <v>286</v>
      </c>
      <c r="I263" s="307" t="s">
        <v>286</v>
      </c>
      <c r="J263" s="307" t="s">
        <v>286</v>
      </c>
      <c r="K263" s="307" t="s">
        <v>286</v>
      </c>
      <c r="L263" s="307" t="s">
        <v>286</v>
      </c>
      <c r="M263" s="307" t="s">
        <v>286</v>
      </c>
      <c r="N263" s="307" t="s">
        <v>286</v>
      </c>
      <c r="O263" s="307" t="s">
        <v>286</v>
      </c>
      <c r="P263" s="307" t="s">
        <v>286</v>
      </c>
      <c r="Q263" s="307"/>
      <c r="R263" s="307"/>
      <c r="S263" s="307" t="s">
        <v>286</v>
      </c>
      <c r="T263" s="307" t="s">
        <v>286</v>
      </c>
    </row>
    <row r="264" spans="1:20" s="283" customFormat="1" x14ac:dyDescent="0.25">
      <c r="A264" s="289" t="s">
        <v>891</v>
      </c>
      <c r="B264" s="271" t="s">
        <v>62</v>
      </c>
      <c r="C264" s="288" t="s">
        <v>748</v>
      </c>
      <c r="D264" s="307" t="s">
        <v>286</v>
      </c>
      <c r="E264" s="307" t="s">
        <v>286</v>
      </c>
      <c r="F264" s="307" t="s">
        <v>286</v>
      </c>
      <c r="G264" s="307" t="s">
        <v>286</v>
      </c>
      <c r="H264" s="307" t="s">
        <v>286</v>
      </c>
      <c r="I264" s="307" t="s">
        <v>286</v>
      </c>
      <c r="J264" s="307" t="s">
        <v>286</v>
      </c>
      <c r="K264" s="307" t="s">
        <v>286</v>
      </c>
      <c r="L264" s="307" t="s">
        <v>286</v>
      </c>
      <c r="M264" s="307" t="s">
        <v>286</v>
      </c>
      <c r="N264" s="307" t="s">
        <v>286</v>
      </c>
      <c r="O264" s="307" t="s">
        <v>286</v>
      </c>
      <c r="P264" s="307" t="s">
        <v>286</v>
      </c>
      <c r="Q264" s="307"/>
      <c r="R264" s="307"/>
      <c r="S264" s="307" t="s">
        <v>286</v>
      </c>
      <c r="T264" s="307" t="s">
        <v>286</v>
      </c>
    </row>
    <row r="265" spans="1:20" s="283" customFormat="1" ht="31.5" x14ac:dyDescent="0.25">
      <c r="A265" s="289" t="s">
        <v>892</v>
      </c>
      <c r="B265" s="270" t="s">
        <v>898</v>
      </c>
      <c r="C265" s="288" t="s">
        <v>748</v>
      </c>
      <c r="D265" s="307" t="s">
        <v>286</v>
      </c>
      <c r="E265" s="307" t="s">
        <v>286</v>
      </c>
      <c r="F265" s="307" t="s">
        <v>286</v>
      </c>
      <c r="G265" s="307" t="s">
        <v>286</v>
      </c>
      <c r="H265" s="307" t="s">
        <v>286</v>
      </c>
      <c r="I265" s="307" t="s">
        <v>286</v>
      </c>
      <c r="J265" s="307" t="s">
        <v>286</v>
      </c>
      <c r="K265" s="307" t="s">
        <v>286</v>
      </c>
      <c r="L265" s="307" t="s">
        <v>286</v>
      </c>
      <c r="M265" s="307" t="s">
        <v>286</v>
      </c>
      <c r="N265" s="307" t="s">
        <v>286</v>
      </c>
      <c r="O265" s="307" t="s">
        <v>286</v>
      </c>
      <c r="P265" s="307" t="s">
        <v>286</v>
      </c>
      <c r="Q265" s="307"/>
      <c r="R265" s="307"/>
      <c r="S265" s="307" t="s">
        <v>286</v>
      </c>
      <c r="T265" s="307" t="s">
        <v>286</v>
      </c>
    </row>
    <row r="266" spans="1:20" s="283" customFormat="1" x14ac:dyDescent="0.25">
      <c r="A266" s="289" t="s">
        <v>893</v>
      </c>
      <c r="B266" s="271" t="s">
        <v>62</v>
      </c>
      <c r="C266" s="288" t="s">
        <v>748</v>
      </c>
      <c r="D266" s="307" t="s">
        <v>286</v>
      </c>
      <c r="E266" s="307" t="s">
        <v>286</v>
      </c>
      <c r="F266" s="307" t="s">
        <v>286</v>
      </c>
      <c r="G266" s="307" t="s">
        <v>286</v>
      </c>
      <c r="H266" s="307" t="s">
        <v>286</v>
      </c>
      <c r="I266" s="307" t="s">
        <v>286</v>
      </c>
      <c r="J266" s="307" t="s">
        <v>286</v>
      </c>
      <c r="K266" s="307" t="s">
        <v>286</v>
      </c>
      <c r="L266" s="307" t="s">
        <v>286</v>
      </c>
      <c r="M266" s="307" t="s">
        <v>286</v>
      </c>
      <c r="N266" s="307" t="s">
        <v>286</v>
      </c>
      <c r="O266" s="307" t="s">
        <v>286</v>
      </c>
      <c r="P266" s="307" t="s">
        <v>286</v>
      </c>
      <c r="Q266" s="307"/>
      <c r="R266" s="307"/>
      <c r="S266" s="307" t="s">
        <v>286</v>
      </c>
      <c r="T266" s="307" t="s">
        <v>286</v>
      </c>
    </row>
    <row r="267" spans="1:20" s="283" customFormat="1" ht="31.5" x14ac:dyDescent="0.25">
      <c r="A267" s="289" t="s">
        <v>991</v>
      </c>
      <c r="B267" s="270" t="s">
        <v>883</v>
      </c>
      <c r="C267" s="288" t="s">
        <v>748</v>
      </c>
      <c r="D267" s="307" t="s">
        <v>286</v>
      </c>
      <c r="E267" s="307" t="s">
        <v>286</v>
      </c>
      <c r="F267" s="307" t="s">
        <v>286</v>
      </c>
      <c r="G267" s="307" t="s">
        <v>286</v>
      </c>
      <c r="H267" s="307" t="s">
        <v>286</v>
      </c>
      <c r="I267" s="307" t="s">
        <v>286</v>
      </c>
      <c r="J267" s="307" t="s">
        <v>286</v>
      </c>
      <c r="K267" s="307" t="s">
        <v>286</v>
      </c>
      <c r="L267" s="307" t="s">
        <v>286</v>
      </c>
      <c r="M267" s="307" t="s">
        <v>286</v>
      </c>
      <c r="N267" s="307" t="s">
        <v>286</v>
      </c>
      <c r="O267" s="307" t="s">
        <v>286</v>
      </c>
      <c r="P267" s="307" t="s">
        <v>286</v>
      </c>
      <c r="Q267" s="307"/>
      <c r="R267" s="307"/>
      <c r="S267" s="307" t="s">
        <v>286</v>
      </c>
      <c r="T267" s="307" t="s">
        <v>286</v>
      </c>
    </row>
    <row r="268" spans="1:20" s="283" customFormat="1" x14ac:dyDescent="0.25">
      <c r="A268" s="289" t="s">
        <v>992</v>
      </c>
      <c r="B268" s="271" t="s">
        <v>62</v>
      </c>
      <c r="C268" s="288" t="s">
        <v>748</v>
      </c>
      <c r="D268" s="307" t="s">
        <v>286</v>
      </c>
      <c r="E268" s="307" t="s">
        <v>286</v>
      </c>
      <c r="F268" s="307" t="s">
        <v>286</v>
      </c>
      <c r="G268" s="307" t="s">
        <v>286</v>
      </c>
      <c r="H268" s="307" t="s">
        <v>286</v>
      </c>
      <c r="I268" s="307" t="s">
        <v>286</v>
      </c>
      <c r="J268" s="307" t="s">
        <v>286</v>
      </c>
      <c r="K268" s="307" t="s">
        <v>286</v>
      </c>
      <c r="L268" s="307" t="s">
        <v>286</v>
      </c>
      <c r="M268" s="307" t="s">
        <v>286</v>
      </c>
      <c r="N268" s="307" t="s">
        <v>286</v>
      </c>
      <c r="O268" s="307" t="s">
        <v>286</v>
      </c>
      <c r="P268" s="307" t="s">
        <v>286</v>
      </c>
      <c r="Q268" s="307"/>
      <c r="R268" s="307"/>
      <c r="S268" s="307" t="s">
        <v>286</v>
      </c>
      <c r="T268" s="307" t="s">
        <v>286</v>
      </c>
    </row>
    <row r="269" spans="1:20" s="283" customFormat="1" x14ac:dyDescent="0.25">
      <c r="A269" s="289" t="s">
        <v>670</v>
      </c>
      <c r="B269" s="136" t="s">
        <v>1055</v>
      </c>
      <c r="C269" s="288" t="s">
        <v>748</v>
      </c>
      <c r="D269" s="307" t="s">
        <v>286</v>
      </c>
      <c r="E269" s="307" t="s">
        <v>286</v>
      </c>
      <c r="F269" s="307" t="s">
        <v>286</v>
      </c>
      <c r="G269" s="307" t="s">
        <v>286</v>
      </c>
      <c r="H269" s="307" t="s">
        <v>286</v>
      </c>
      <c r="I269" s="307" t="s">
        <v>286</v>
      </c>
      <c r="J269" s="307" t="s">
        <v>286</v>
      </c>
      <c r="K269" s="307" t="s">
        <v>286</v>
      </c>
      <c r="L269" s="307" t="s">
        <v>286</v>
      </c>
      <c r="M269" s="307" t="s">
        <v>286</v>
      </c>
      <c r="N269" s="307" t="s">
        <v>286</v>
      </c>
      <c r="O269" s="307" t="s">
        <v>286</v>
      </c>
      <c r="P269" s="307" t="s">
        <v>286</v>
      </c>
      <c r="Q269" s="307"/>
      <c r="R269" s="307"/>
      <c r="S269" s="307" t="s">
        <v>286</v>
      </c>
      <c r="T269" s="307" t="s">
        <v>286</v>
      </c>
    </row>
    <row r="270" spans="1:20" s="283" customFormat="1" x14ac:dyDescent="0.25">
      <c r="A270" s="289" t="s">
        <v>671</v>
      </c>
      <c r="B270" s="270" t="s">
        <v>62</v>
      </c>
      <c r="C270" s="288" t="s">
        <v>748</v>
      </c>
      <c r="D270" s="307" t="s">
        <v>286</v>
      </c>
      <c r="E270" s="307" t="s">
        <v>286</v>
      </c>
      <c r="F270" s="307" t="s">
        <v>286</v>
      </c>
      <c r="G270" s="307" t="s">
        <v>286</v>
      </c>
      <c r="H270" s="307" t="s">
        <v>286</v>
      </c>
      <c r="I270" s="307" t="s">
        <v>286</v>
      </c>
      <c r="J270" s="307" t="s">
        <v>286</v>
      </c>
      <c r="K270" s="307" t="s">
        <v>286</v>
      </c>
      <c r="L270" s="307" t="s">
        <v>286</v>
      </c>
      <c r="M270" s="307" t="s">
        <v>286</v>
      </c>
      <c r="N270" s="307" t="s">
        <v>286</v>
      </c>
      <c r="O270" s="307" t="s">
        <v>286</v>
      </c>
      <c r="P270" s="307" t="s">
        <v>286</v>
      </c>
      <c r="Q270" s="307"/>
      <c r="R270" s="307"/>
      <c r="S270" s="307" t="s">
        <v>286</v>
      </c>
      <c r="T270" s="307" t="s">
        <v>286</v>
      </c>
    </row>
    <row r="271" spans="1:20" s="283" customFormat="1" x14ac:dyDescent="0.25">
      <c r="A271" s="289" t="s">
        <v>777</v>
      </c>
      <c r="B271" s="268" t="s">
        <v>745</v>
      </c>
      <c r="C271" s="288" t="s">
        <v>748</v>
      </c>
      <c r="D271" s="288">
        <v>100.29</v>
      </c>
      <c r="E271" s="314">
        <v>13.39</v>
      </c>
      <c r="F271" s="314">
        <v>18.91</v>
      </c>
      <c r="G271" s="314"/>
      <c r="H271" s="330">
        <v>100.61499999999999</v>
      </c>
      <c r="I271" s="314"/>
      <c r="J271" s="314">
        <v>114.74</v>
      </c>
      <c r="K271" s="328"/>
      <c r="L271" s="314">
        <v>119.11</v>
      </c>
      <c r="M271" s="328"/>
      <c r="N271" s="280"/>
      <c r="O271" s="280"/>
      <c r="P271" s="280"/>
      <c r="Q271" s="280"/>
      <c r="R271" s="280"/>
      <c r="S271" s="280"/>
      <c r="T271" s="280"/>
    </row>
    <row r="272" spans="1:20" s="283" customFormat="1" x14ac:dyDescent="0.25">
      <c r="A272" s="289" t="s">
        <v>778</v>
      </c>
      <c r="B272" s="270" t="s">
        <v>62</v>
      </c>
      <c r="C272" s="288" t="s">
        <v>748</v>
      </c>
      <c r="D272" s="288"/>
      <c r="E272" s="288"/>
      <c r="F272" s="328"/>
      <c r="G272" s="328"/>
      <c r="H272" s="314">
        <v>12.057639999999999</v>
      </c>
      <c r="I272" s="314"/>
      <c r="J272" s="314">
        <v>12.13</v>
      </c>
      <c r="K272" s="328"/>
      <c r="L272" s="328"/>
      <c r="M272" s="328"/>
      <c r="N272" s="280"/>
      <c r="O272" s="280"/>
      <c r="P272" s="280"/>
      <c r="Q272" s="280"/>
      <c r="R272" s="280"/>
      <c r="S272" s="280"/>
      <c r="T272" s="280"/>
    </row>
    <row r="273" spans="1:20" s="283" customFormat="1" x14ac:dyDescent="0.25">
      <c r="A273" s="289" t="s">
        <v>779</v>
      </c>
      <c r="B273" s="268" t="s">
        <v>1049</v>
      </c>
      <c r="C273" s="288" t="s">
        <v>748</v>
      </c>
      <c r="D273" s="307" t="s">
        <v>286</v>
      </c>
      <c r="E273" s="307" t="s">
        <v>286</v>
      </c>
      <c r="F273" s="307" t="s">
        <v>286</v>
      </c>
      <c r="G273" s="307" t="s">
        <v>286</v>
      </c>
      <c r="H273" s="307" t="s">
        <v>286</v>
      </c>
      <c r="I273" s="307" t="s">
        <v>286</v>
      </c>
      <c r="J273" s="307" t="s">
        <v>286</v>
      </c>
      <c r="K273" s="307" t="s">
        <v>286</v>
      </c>
      <c r="L273" s="307" t="s">
        <v>286</v>
      </c>
      <c r="M273" s="307" t="s">
        <v>286</v>
      </c>
      <c r="N273" s="307" t="s">
        <v>286</v>
      </c>
      <c r="O273" s="307" t="s">
        <v>286</v>
      </c>
      <c r="P273" s="307" t="s">
        <v>286</v>
      </c>
      <c r="Q273" s="307"/>
      <c r="R273" s="307"/>
      <c r="S273" s="307" t="s">
        <v>286</v>
      </c>
      <c r="T273" s="307" t="s">
        <v>286</v>
      </c>
    </row>
    <row r="274" spans="1:20" s="283" customFormat="1" x14ac:dyDescent="0.25">
      <c r="A274" s="289" t="s">
        <v>780</v>
      </c>
      <c r="B274" s="270" t="s">
        <v>62</v>
      </c>
      <c r="C274" s="288" t="s">
        <v>748</v>
      </c>
      <c r="D274" s="307" t="s">
        <v>286</v>
      </c>
      <c r="E274" s="307" t="s">
        <v>286</v>
      </c>
      <c r="F274" s="307" t="s">
        <v>286</v>
      </c>
      <c r="G274" s="307" t="s">
        <v>286</v>
      </c>
      <c r="H274" s="307" t="s">
        <v>286</v>
      </c>
      <c r="I274" s="307" t="s">
        <v>286</v>
      </c>
      <c r="J274" s="307" t="s">
        <v>286</v>
      </c>
      <c r="K274" s="307" t="s">
        <v>286</v>
      </c>
      <c r="L274" s="307" t="s">
        <v>286</v>
      </c>
      <c r="M274" s="307" t="s">
        <v>286</v>
      </c>
      <c r="N274" s="307" t="s">
        <v>286</v>
      </c>
      <c r="O274" s="307" t="s">
        <v>286</v>
      </c>
      <c r="P274" s="307" t="s">
        <v>286</v>
      </c>
      <c r="Q274" s="307"/>
      <c r="R274" s="307"/>
      <c r="S274" s="307" t="s">
        <v>286</v>
      </c>
      <c r="T274" s="307" t="s">
        <v>286</v>
      </c>
    </row>
    <row r="275" spans="1:20" s="283" customFormat="1" x14ac:dyDescent="0.25">
      <c r="A275" s="289" t="s">
        <v>781</v>
      </c>
      <c r="B275" s="268" t="s">
        <v>746</v>
      </c>
      <c r="C275" s="288" t="s">
        <v>748</v>
      </c>
      <c r="D275" s="307" t="s">
        <v>286</v>
      </c>
      <c r="E275" s="307" t="s">
        <v>286</v>
      </c>
      <c r="F275" s="307" t="s">
        <v>286</v>
      </c>
      <c r="G275" s="307" t="s">
        <v>286</v>
      </c>
      <c r="H275" s="307" t="s">
        <v>286</v>
      </c>
      <c r="I275" s="307" t="s">
        <v>286</v>
      </c>
      <c r="J275" s="307" t="s">
        <v>286</v>
      </c>
      <c r="K275" s="307" t="s">
        <v>286</v>
      </c>
      <c r="L275" s="307" t="s">
        <v>286</v>
      </c>
      <c r="M275" s="307" t="s">
        <v>286</v>
      </c>
      <c r="N275" s="307" t="s">
        <v>286</v>
      </c>
      <c r="O275" s="307" t="s">
        <v>286</v>
      </c>
      <c r="P275" s="307" t="s">
        <v>286</v>
      </c>
      <c r="Q275" s="307"/>
      <c r="R275" s="307"/>
      <c r="S275" s="307" t="s">
        <v>286</v>
      </c>
      <c r="T275" s="307" t="s">
        <v>286</v>
      </c>
    </row>
    <row r="276" spans="1:20" s="283" customFormat="1" x14ac:dyDescent="0.25">
      <c r="A276" s="289" t="s">
        <v>782</v>
      </c>
      <c r="B276" s="270" t="s">
        <v>62</v>
      </c>
      <c r="C276" s="288" t="s">
        <v>748</v>
      </c>
      <c r="D276" s="307" t="s">
        <v>286</v>
      </c>
      <c r="E276" s="307" t="s">
        <v>286</v>
      </c>
      <c r="F276" s="307" t="s">
        <v>286</v>
      </c>
      <c r="G276" s="307" t="s">
        <v>286</v>
      </c>
      <c r="H276" s="307" t="s">
        <v>286</v>
      </c>
      <c r="I276" s="307" t="s">
        <v>286</v>
      </c>
      <c r="J276" s="307" t="s">
        <v>286</v>
      </c>
      <c r="K276" s="307" t="s">
        <v>286</v>
      </c>
      <c r="L276" s="307" t="s">
        <v>286</v>
      </c>
      <c r="M276" s="307" t="s">
        <v>286</v>
      </c>
      <c r="N276" s="307" t="s">
        <v>286</v>
      </c>
      <c r="O276" s="307" t="s">
        <v>286</v>
      </c>
      <c r="P276" s="307" t="s">
        <v>286</v>
      </c>
      <c r="Q276" s="307"/>
      <c r="R276" s="307"/>
      <c r="S276" s="307" t="s">
        <v>286</v>
      </c>
      <c r="T276" s="307" t="s">
        <v>286</v>
      </c>
    </row>
    <row r="277" spans="1:20" s="283" customFormat="1" ht="15.75" customHeight="1" x14ac:dyDescent="0.25">
      <c r="A277" s="289" t="s">
        <v>1077</v>
      </c>
      <c r="B277" s="268" t="s">
        <v>747</v>
      </c>
      <c r="C277" s="288" t="s">
        <v>748</v>
      </c>
      <c r="D277" s="307" t="s">
        <v>286</v>
      </c>
      <c r="E277" s="307" t="s">
        <v>286</v>
      </c>
      <c r="F277" s="307" t="s">
        <v>286</v>
      </c>
      <c r="G277" s="307" t="s">
        <v>286</v>
      </c>
      <c r="H277" s="307" t="s">
        <v>286</v>
      </c>
      <c r="I277" s="307" t="s">
        <v>286</v>
      </c>
      <c r="J277" s="307" t="s">
        <v>286</v>
      </c>
      <c r="K277" s="307" t="s">
        <v>286</v>
      </c>
      <c r="L277" s="307" t="s">
        <v>286</v>
      </c>
      <c r="M277" s="307" t="s">
        <v>286</v>
      </c>
      <c r="N277" s="307" t="s">
        <v>286</v>
      </c>
      <c r="O277" s="307" t="s">
        <v>286</v>
      </c>
      <c r="P277" s="307" t="s">
        <v>286</v>
      </c>
      <c r="Q277" s="307"/>
      <c r="R277" s="307"/>
      <c r="S277" s="307" t="s">
        <v>286</v>
      </c>
      <c r="T277" s="307" t="s">
        <v>286</v>
      </c>
    </row>
    <row r="278" spans="1:20" s="283" customFormat="1" x14ac:dyDescent="0.25">
      <c r="A278" s="289" t="s">
        <v>783</v>
      </c>
      <c r="B278" s="270" t="s">
        <v>62</v>
      </c>
      <c r="C278" s="288" t="s">
        <v>748</v>
      </c>
      <c r="D278" s="307" t="s">
        <v>286</v>
      </c>
      <c r="E278" s="307" t="s">
        <v>286</v>
      </c>
      <c r="F278" s="307" t="s">
        <v>286</v>
      </c>
      <c r="G278" s="307" t="s">
        <v>286</v>
      </c>
      <c r="H278" s="307" t="s">
        <v>286</v>
      </c>
      <c r="I278" s="307" t="s">
        <v>286</v>
      </c>
      <c r="J278" s="307" t="s">
        <v>286</v>
      </c>
      <c r="K278" s="307" t="s">
        <v>286</v>
      </c>
      <c r="L278" s="307" t="s">
        <v>286</v>
      </c>
      <c r="M278" s="307" t="s">
        <v>286</v>
      </c>
      <c r="N278" s="307" t="s">
        <v>286</v>
      </c>
      <c r="O278" s="307" t="s">
        <v>286</v>
      </c>
      <c r="P278" s="307" t="s">
        <v>286</v>
      </c>
      <c r="Q278" s="307"/>
      <c r="R278" s="307"/>
      <c r="S278" s="307" t="s">
        <v>286</v>
      </c>
      <c r="T278" s="307" t="s">
        <v>286</v>
      </c>
    </row>
    <row r="279" spans="1:20" s="283" customFormat="1" x14ac:dyDescent="0.25">
      <c r="A279" s="289" t="s">
        <v>894</v>
      </c>
      <c r="B279" s="268" t="s">
        <v>1056</v>
      </c>
      <c r="C279" s="288" t="s">
        <v>748</v>
      </c>
      <c r="D279" s="307" t="s">
        <v>286</v>
      </c>
      <c r="E279" s="307" t="s">
        <v>286</v>
      </c>
      <c r="F279" s="307" t="s">
        <v>286</v>
      </c>
      <c r="G279" s="307" t="s">
        <v>286</v>
      </c>
      <c r="H279" s="307" t="s">
        <v>286</v>
      </c>
      <c r="I279" s="307" t="s">
        <v>286</v>
      </c>
      <c r="J279" s="307" t="s">
        <v>286</v>
      </c>
      <c r="K279" s="307" t="s">
        <v>286</v>
      </c>
      <c r="L279" s="307" t="s">
        <v>286</v>
      </c>
      <c r="M279" s="307" t="s">
        <v>286</v>
      </c>
      <c r="N279" s="307" t="s">
        <v>286</v>
      </c>
      <c r="O279" s="307" t="s">
        <v>286</v>
      </c>
      <c r="P279" s="307" t="s">
        <v>286</v>
      </c>
      <c r="Q279" s="307"/>
      <c r="R279" s="307"/>
      <c r="S279" s="307" t="s">
        <v>286</v>
      </c>
      <c r="T279" s="307" t="s">
        <v>286</v>
      </c>
    </row>
    <row r="280" spans="1:20" s="283" customFormat="1" x14ac:dyDescent="0.25">
      <c r="A280" s="289" t="s">
        <v>784</v>
      </c>
      <c r="B280" s="270" t="s">
        <v>62</v>
      </c>
      <c r="C280" s="288" t="s">
        <v>748</v>
      </c>
      <c r="D280" s="307" t="s">
        <v>286</v>
      </c>
      <c r="E280" s="307" t="s">
        <v>286</v>
      </c>
      <c r="F280" s="307" t="s">
        <v>286</v>
      </c>
      <c r="G280" s="307" t="s">
        <v>286</v>
      </c>
      <c r="H280" s="307" t="s">
        <v>286</v>
      </c>
      <c r="I280" s="307" t="s">
        <v>286</v>
      </c>
      <c r="J280" s="307" t="s">
        <v>286</v>
      </c>
      <c r="K280" s="307" t="s">
        <v>286</v>
      </c>
      <c r="L280" s="307" t="s">
        <v>286</v>
      </c>
      <c r="M280" s="307" t="s">
        <v>286</v>
      </c>
      <c r="N280" s="307" t="s">
        <v>286</v>
      </c>
      <c r="O280" s="307" t="s">
        <v>286</v>
      </c>
      <c r="P280" s="307" t="s">
        <v>286</v>
      </c>
      <c r="Q280" s="307"/>
      <c r="R280" s="307"/>
      <c r="S280" s="307" t="s">
        <v>286</v>
      </c>
      <c r="T280" s="307" t="s">
        <v>286</v>
      </c>
    </row>
    <row r="281" spans="1:20" s="283" customFormat="1" ht="31.5" x14ac:dyDescent="0.25">
      <c r="A281" s="289" t="s">
        <v>785</v>
      </c>
      <c r="B281" s="136" t="s">
        <v>1032</v>
      </c>
      <c r="C281" s="288" t="s">
        <v>748</v>
      </c>
      <c r="D281" s="307" t="s">
        <v>286</v>
      </c>
      <c r="E281" s="307" t="s">
        <v>286</v>
      </c>
      <c r="F281" s="307" t="s">
        <v>286</v>
      </c>
      <c r="G281" s="307" t="s">
        <v>286</v>
      </c>
      <c r="H281" s="307" t="s">
        <v>286</v>
      </c>
      <c r="I281" s="307" t="s">
        <v>286</v>
      </c>
      <c r="J281" s="307" t="s">
        <v>286</v>
      </c>
      <c r="K281" s="307" t="s">
        <v>286</v>
      </c>
      <c r="L281" s="307" t="s">
        <v>286</v>
      </c>
      <c r="M281" s="307" t="s">
        <v>286</v>
      </c>
      <c r="N281" s="307" t="s">
        <v>286</v>
      </c>
      <c r="O281" s="307" t="s">
        <v>286</v>
      </c>
      <c r="P281" s="307" t="s">
        <v>286</v>
      </c>
      <c r="Q281" s="307"/>
      <c r="R281" s="307"/>
      <c r="S281" s="307" t="s">
        <v>286</v>
      </c>
      <c r="T281" s="307" t="s">
        <v>286</v>
      </c>
    </row>
    <row r="282" spans="1:20" s="283" customFormat="1" x14ac:dyDescent="0.25">
      <c r="A282" s="289" t="s">
        <v>786</v>
      </c>
      <c r="B282" s="270" t="s">
        <v>62</v>
      </c>
      <c r="C282" s="288" t="s">
        <v>748</v>
      </c>
      <c r="D282" s="307" t="s">
        <v>286</v>
      </c>
      <c r="E282" s="307" t="s">
        <v>286</v>
      </c>
      <c r="F282" s="307" t="s">
        <v>286</v>
      </c>
      <c r="G282" s="307" t="s">
        <v>286</v>
      </c>
      <c r="H282" s="307" t="s">
        <v>286</v>
      </c>
      <c r="I282" s="307" t="s">
        <v>286</v>
      </c>
      <c r="J282" s="307" t="s">
        <v>286</v>
      </c>
      <c r="K282" s="307" t="s">
        <v>286</v>
      </c>
      <c r="L282" s="307" t="s">
        <v>286</v>
      </c>
      <c r="M282" s="307" t="s">
        <v>286</v>
      </c>
      <c r="N282" s="307" t="s">
        <v>286</v>
      </c>
      <c r="O282" s="307" t="s">
        <v>286</v>
      </c>
      <c r="P282" s="307" t="s">
        <v>286</v>
      </c>
      <c r="Q282" s="307"/>
      <c r="R282" s="307"/>
      <c r="S282" s="307" t="s">
        <v>286</v>
      </c>
      <c r="T282" s="307" t="s">
        <v>286</v>
      </c>
    </row>
    <row r="283" spans="1:20" s="283" customFormat="1" x14ac:dyDescent="0.25">
      <c r="A283" s="289" t="s">
        <v>993</v>
      </c>
      <c r="B283" s="270" t="s">
        <v>643</v>
      </c>
      <c r="C283" s="288" t="s">
        <v>748</v>
      </c>
      <c r="D283" s="307" t="s">
        <v>286</v>
      </c>
      <c r="E283" s="307" t="s">
        <v>286</v>
      </c>
      <c r="F283" s="307" t="s">
        <v>286</v>
      </c>
      <c r="G283" s="307" t="s">
        <v>286</v>
      </c>
      <c r="H283" s="307" t="s">
        <v>286</v>
      </c>
      <c r="I283" s="307" t="s">
        <v>286</v>
      </c>
      <c r="J283" s="307" t="s">
        <v>286</v>
      </c>
      <c r="K283" s="307" t="s">
        <v>286</v>
      </c>
      <c r="L283" s="307" t="s">
        <v>286</v>
      </c>
      <c r="M283" s="307" t="s">
        <v>286</v>
      </c>
      <c r="N283" s="307" t="s">
        <v>286</v>
      </c>
      <c r="O283" s="307" t="s">
        <v>286</v>
      </c>
      <c r="P283" s="307" t="s">
        <v>286</v>
      </c>
      <c r="Q283" s="307"/>
      <c r="R283" s="307"/>
      <c r="S283" s="307" t="s">
        <v>286</v>
      </c>
      <c r="T283" s="307" t="s">
        <v>286</v>
      </c>
    </row>
    <row r="284" spans="1:20" s="283" customFormat="1" x14ac:dyDescent="0.25">
      <c r="A284" s="289" t="s">
        <v>995</v>
      </c>
      <c r="B284" s="271" t="s">
        <v>62</v>
      </c>
      <c r="C284" s="288" t="s">
        <v>748</v>
      </c>
      <c r="D284" s="307" t="s">
        <v>286</v>
      </c>
      <c r="E284" s="307" t="s">
        <v>286</v>
      </c>
      <c r="F284" s="307" t="s">
        <v>286</v>
      </c>
      <c r="G284" s="307" t="s">
        <v>286</v>
      </c>
      <c r="H284" s="307" t="s">
        <v>286</v>
      </c>
      <c r="I284" s="307" t="s">
        <v>286</v>
      </c>
      <c r="J284" s="307" t="s">
        <v>286</v>
      </c>
      <c r="K284" s="307" t="s">
        <v>286</v>
      </c>
      <c r="L284" s="307" t="s">
        <v>286</v>
      </c>
      <c r="M284" s="307" t="s">
        <v>286</v>
      </c>
      <c r="N284" s="307" t="s">
        <v>286</v>
      </c>
      <c r="O284" s="307" t="s">
        <v>286</v>
      </c>
      <c r="P284" s="307" t="s">
        <v>286</v>
      </c>
      <c r="Q284" s="307"/>
      <c r="R284" s="307"/>
      <c r="S284" s="307" t="s">
        <v>286</v>
      </c>
      <c r="T284" s="307" t="s">
        <v>286</v>
      </c>
    </row>
    <row r="285" spans="1:20" s="283" customFormat="1" x14ac:dyDescent="0.25">
      <c r="A285" s="289" t="s">
        <v>994</v>
      </c>
      <c r="B285" s="270" t="s">
        <v>631</v>
      </c>
      <c r="C285" s="288" t="s">
        <v>748</v>
      </c>
      <c r="D285" s="307" t="s">
        <v>286</v>
      </c>
      <c r="E285" s="307" t="s">
        <v>286</v>
      </c>
      <c r="F285" s="307" t="s">
        <v>286</v>
      </c>
      <c r="G285" s="307" t="s">
        <v>286</v>
      </c>
      <c r="H285" s="307" t="s">
        <v>286</v>
      </c>
      <c r="I285" s="307" t="s">
        <v>286</v>
      </c>
      <c r="J285" s="307" t="s">
        <v>286</v>
      </c>
      <c r="K285" s="307" t="s">
        <v>286</v>
      </c>
      <c r="L285" s="307" t="s">
        <v>286</v>
      </c>
      <c r="M285" s="307" t="s">
        <v>286</v>
      </c>
      <c r="N285" s="307" t="s">
        <v>286</v>
      </c>
      <c r="O285" s="307" t="s">
        <v>286</v>
      </c>
      <c r="P285" s="307" t="s">
        <v>286</v>
      </c>
      <c r="Q285" s="307"/>
      <c r="R285" s="307"/>
      <c r="S285" s="307" t="s">
        <v>286</v>
      </c>
      <c r="T285" s="307" t="s">
        <v>286</v>
      </c>
    </row>
    <row r="286" spans="1:20" s="283" customFormat="1" x14ac:dyDescent="0.25">
      <c r="A286" s="289" t="s">
        <v>996</v>
      </c>
      <c r="B286" s="271" t="s">
        <v>62</v>
      </c>
      <c r="C286" s="288" t="s">
        <v>748</v>
      </c>
      <c r="D286" s="307" t="s">
        <v>286</v>
      </c>
      <c r="E286" s="307" t="s">
        <v>286</v>
      </c>
      <c r="F286" s="307" t="s">
        <v>286</v>
      </c>
      <c r="G286" s="307" t="s">
        <v>286</v>
      </c>
      <c r="H286" s="307" t="s">
        <v>286</v>
      </c>
      <c r="I286" s="307" t="s">
        <v>286</v>
      </c>
      <c r="J286" s="307" t="s">
        <v>286</v>
      </c>
      <c r="K286" s="307" t="s">
        <v>286</v>
      </c>
      <c r="L286" s="307" t="s">
        <v>286</v>
      </c>
      <c r="M286" s="307" t="s">
        <v>286</v>
      </c>
      <c r="N286" s="307" t="s">
        <v>286</v>
      </c>
      <c r="O286" s="307" t="s">
        <v>286</v>
      </c>
      <c r="P286" s="307" t="s">
        <v>286</v>
      </c>
      <c r="Q286" s="307"/>
      <c r="R286" s="307"/>
      <c r="S286" s="307" t="s">
        <v>286</v>
      </c>
      <c r="T286" s="307" t="s">
        <v>286</v>
      </c>
    </row>
    <row r="287" spans="1:20" s="283" customFormat="1" x14ac:dyDescent="0.25">
      <c r="A287" s="289" t="s">
        <v>787</v>
      </c>
      <c r="B287" s="136" t="s">
        <v>795</v>
      </c>
      <c r="C287" s="288" t="s">
        <v>748</v>
      </c>
      <c r="D287" s="307" t="s">
        <v>286</v>
      </c>
      <c r="E287" s="307" t="s">
        <v>286</v>
      </c>
      <c r="F287" s="307" t="s">
        <v>286</v>
      </c>
      <c r="G287" s="307" t="s">
        <v>286</v>
      </c>
      <c r="H287" s="307" t="s">
        <v>286</v>
      </c>
      <c r="I287" s="307" t="s">
        <v>286</v>
      </c>
      <c r="J287" s="307" t="s">
        <v>286</v>
      </c>
      <c r="K287" s="307" t="s">
        <v>286</v>
      </c>
      <c r="L287" s="307">
        <v>40.921000000000006</v>
      </c>
      <c r="M287" s="307" t="s">
        <v>286</v>
      </c>
      <c r="N287" s="307" t="s">
        <v>286</v>
      </c>
      <c r="O287" s="307" t="s">
        <v>286</v>
      </c>
      <c r="P287" s="307" t="s">
        <v>286</v>
      </c>
      <c r="Q287" s="307"/>
      <c r="R287" s="307"/>
      <c r="S287" s="307" t="s">
        <v>286</v>
      </c>
      <c r="T287" s="307" t="s">
        <v>286</v>
      </c>
    </row>
    <row r="288" spans="1:20" s="283" customFormat="1" x14ac:dyDescent="0.25">
      <c r="A288" s="289" t="s">
        <v>788</v>
      </c>
      <c r="B288" s="270" t="s">
        <v>62</v>
      </c>
      <c r="C288" s="288" t="s">
        <v>748</v>
      </c>
      <c r="D288" s="307" t="s">
        <v>286</v>
      </c>
      <c r="E288" s="307" t="s">
        <v>286</v>
      </c>
      <c r="F288" s="307" t="s">
        <v>286</v>
      </c>
      <c r="G288" s="307" t="s">
        <v>286</v>
      </c>
      <c r="H288" s="307" t="s">
        <v>286</v>
      </c>
      <c r="I288" s="307" t="s">
        <v>286</v>
      </c>
      <c r="J288" s="307" t="s">
        <v>286</v>
      </c>
      <c r="K288" s="307" t="s">
        <v>286</v>
      </c>
      <c r="L288" s="307">
        <v>43.19</v>
      </c>
      <c r="M288" s="307" t="s">
        <v>286</v>
      </c>
      <c r="N288" s="307" t="s">
        <v>286</v>
      </c>
      <c r="O288" s="307" t="s">
        <v>286</v>
      </c>
      <c r="P288" s="307" t="s">
        <v>286</v>
      </c>
      <c r="Q288" s="307"/>
      <c r="R288" s="307"/>
      <c r="S288" s="307" t="s">
        <v>286</v>
      </c>
      <c r="T288" s="307" t="s">
        <v>286</v>
      </c>
    </row>
    <row r="289" spans="1:20" s="283" customFormat="1" x14ac:dyDescent="0.25">
      <c r="A289" s="289" t="s">
        <v>570</v>
      </c>
      <c r="B289" s="269" t="s">
        <v>1033</v>
      </c>
      <c r="C289" s="288" t="s">
        <v>748</v>
      </c>
      <c r="D289" s="288">
        <v>196.01</v>
      </c>
      <c r="E289" s="314">
        <v>224.62</v>
      </c>
      <c r="F289" s="314">
        <v>229.2</v>
      </c>
      <c r="G289" s="314"/>
      <c r="H289" s="330">
        <v>316.37</v>
      </c>
      <c r="I289" s="314"/>
      <c r="J289" s="314">
        <v>396.42</v>
      </c>
      <c r="K289" s="328"/>
      <c r="L289" s="307">
        <v>254.67599999999999</v>
      </c>
      <c r="M289" s="328"/>
      <c r="N289" s="280"/>
      <c r="O289" s="280"/>
      <c r="P289" s="280"/>
      <c r="Q289" s="280"/>
      <c r="R289" s="280"/>
      <c r="S289" s="280"/>
      <c r="T289" s="280"/>
    </row>
    <row r="290" spans="1:20" s="283" customFormat="1" x14ac:dyDescent="0.25">
      <c r="A290" s="289" t="s">
        <v>672</v>
      </c>
      <c r="B290" s="136" t="s">
        <v>567</v>
      </c>
      <c r="C290" s="288" t="s">
        <v>748</v>
      </c>
      <c r="D290" s="307" t="s">
        <v>286</v>
      </c>
      <c r="E290" s="307" t="s">
        <v>286</v>
      </c>
      <c r="F290" s="307" t="s">
        <v>286</v>
      </c>
      <c r="G290" s="307" t="s">
        <v>286</v>
      </c>
      <c r="H290" s="307" t="s">
        <v>286</v>
      </c>
      <c r="I290" s="307" t="s">
        <v>286</v>
      </c>
      <c r="J290" s="307" t="s">
        <v>286</v>
      </c>
      <c r="K290" s="307" t="s">
        <v>286</v>
      </c>
      <c r="L290" s="307" t="s">
        <v>286</v>
      </c>
      <c r="M290" s="307" t="s">
        <v>286</v>
      </c>
      <c r="N290" s="307" t="s">
        <v>286</v>
      </c>
      <c r="O290" s="307" t="s">
        <v>286</v>
      </c>
      <c r="P290" s="307" t="s">
        <v>286</v>
      </c>
      <c r="Q290" s="307"/>
      <c r="R290" s="307"/>
      <c r="S290" s="307" t="s">
        <v>286</v>
      </c>
      <c r="T290" s="307" t="s">
        <v>286</v>
      </c>
    </row>
    <row r="291" spans="1:20" s="283" customFormat="1" x14ac:dyDescent="0.25">
      <c r="A291" s="289" t="s">
        <v>673</v>
      </c>
      <c r="B291" s="270" t="s">
        <v>62</v>
      </c>
      <c r="C291" s="288" t="s">
        <v>748</v>
      </c>
      <c r="D291" s="307" t="s">
        <v>286</v>
      </c>
      <c r="E291" s="307" t="s">
        <v>286</v>
      </c>
      <c r="F291" s="307" t="s">
        <v>286</v>
      </c>
      <c r="G291" s="307" t="s">
        <v>286</v>
      </c>
      <c r="H291" s="307" t="s">
        <v>286</v>
      </c>
      <c r="I291" s="307" t="s">
        <v>286</v>
      </c>
      <c r="J291" s="307" t="s">
        <v>286</v>
      </c>
      <c r="K291" s="307" t="s">
        <v>286</v>
      </c>
      <c r="L291" s="307" t="s">
        <v>286</v>
      </c>
      <c r="M291" s="307" t="s">
        <v>286</v>
      </c>
      <c r="N291" s="307" t="s">
        <v>286</v>
      </c>
      <c r="O291" s="307" t="s">
        <v>286</v>
      </c>
      <c r="P291" s="307" t="s">
        <v>286</v>
      </c>
      <c r="Q291" s="307"/>
      <c r="R291" s="307"/>
      <c r="S291" s="307" t="s">
        <v>286</v>
      </c>
      <c r="T291" s="307" t="s">
        <v>286</v>
      </c>
    </row>
    <row r="292" spans="1:20" s="283" customFormat="1" x14ac:dyDescent="0.25">
      <c r="A292" s="289" t="s">
        <v>674</v>
      </c>
      <c r="B292" s="136" t="s">
        <v>1034</v>
      </c>
      <c r="C292" s="288" t="s">
        <v>748</v>
      </c>
      <c r="D292" s="288">
        <v>32.78</v>
      </c>
      <c r="E292" s="314">
        <v>52.81</v>
      </c>
      <c r="F292" s="314">
        <v>27.27</v>
      </c>
      <c r="G292" s="314"/>
      <c r="H292" s="330">
        <v>33.692999999999998</v>
      </c>
      <c r="I292" s="314"/>
      <c r="J292" s="314">
        <v>46.4</v>
      </c>
      <c r="K292" s="328"/>
      <c r="L292" s="328"/>
      <c r="M292" s="328"/>
      <c r="N292" s="280"/>
      <c r="O292" s="280"/>
      <c r="P292" s="280"/>
      <c r="Q292" s="280"/>
      <c r="R292" s="280"/>
      <c r="S292" s="280"/>
      <c r="T292" s="280"/>
    </row>
    <row r="293" spans="1:20" s="283" customFormat="1" x14ac:dyDescent="0.25">
      <c r="A293" s="289" t="s">
        <v>676</v>
      </c>
      <c r="B293" s="270" t="s">
        <v>638</v>
      </c>
      <c r="C293" s="288" t="s">
        <v>748</v>
      </c>
      <c r="D293" s="307" t="s">
        <v>286</v>
      </c>
      <c r="E293" s="307" t="s">
        <v>286</v>
      </c>
      <c r="F293" s="307" t="s">
        <v>286</v>
      </c>
      <c r="G293" s="307" t="s">
        <v>286</v>
      </c>
      <c r="H293" s="307" t="s">
        <v>286</v>
      </c>
      <c r="I293" s="307" t="s">
        <v>286</v>
      </c>
      <c r="J293" s="307" t="s">
        <v>286</v>
      </c>
      <c r="K293" s="307" t="s">
        <v>286</v>
      </c>
      <c r="L293" s="307" t="s">
        <v>286</v>
      </c>
      <c r="M293" s="307" t="s">
        <v>286</v>
      </c>
      <c r="N293" s="307" t="s">
        <v>286</v>
      </c>
      <c r="O293" s="307" t="s">
        <v>286</v>
      </c>
      <c r="P293" s="307" t="s">
        <v>286</v>
      </c>
      <c r="Q293" s="307"/>
      <c r="R293" s="307"/>
      <c r="S293" s="307" t="s">
        <v>286</v>
      </c>
      <c r="T293" s="307" t="s">
        <v>286</v>
      </c>
    </row>
    <row r="294" spans="1:20" s="283" customFormat="1" x14ac:dyDescent="0.25">
      <c r="A294" s="289" t="s">
        <v>677</v>
      </c>
      <c r="B294" s="271" t="s">
        <v>62</v>
      </c>
      <c r="C294" s="288" t="s">
        <v>748</v>
      </c>
      <c r="D294" s="307" t="s">
        <v>286</v>
      </c>
      <c r="E294" s="307" t="s">
        <v>286</v>
      </c>
      <c r="F294" s="307" t="s">
        <v>286</v>
      </c>
      <c r="G294" s="307" t="s">
        <v>286</v>
      </c>
      <c r="H294" s="307" t="s">
        <v>286</v>
      </c>
      <c r="I294" s="307" t="s">
        <v>286</v>
      </c>
      <c r="J294" s="307" t="s">
        <v>286</v>
      </c>
      <c r="K294" s="307" t="s">
        <v>286</v>
      </c>
      <c r="L294" s="307" t="s">
        <v>286</v>
      </c>
      <c r="M294" s="307" t="s">
        <v>286</v>
      </c>
      <c r="N294" s="307" t="s">
        <v>286</v>
      </c>
      <c r="O294" s="307" t="s">
        <v>286</v>
      </c>
      <c r="P294" s="307" t="s">
        <v>286</v>
      </c>
      <c r="Q294" s="307"/>
      <c r="R294" s="307"/>
      <c r="S294" s="307" t="s">
        <v>286</v>
      </c>
      <c r="T294" s="307" t="s">
        <v>286</v>
      </c>
    </row>
    <row r="295" spans="1:20" s="283" customFormat="1" x14ac:dyDescent="0.25">
      <c r="A295" s="289" t="s">
        <v>678</v>
      </c>
      <c r="B295" s="270" t="s">
        <v>698</v>
      </c>
      <c r="C295" s="288" t="s">
        <v>748</v>
      </c>
      <c r="D295" s="288">
        <v>32.78</v>
      </c>
      <c r="E295" s="314">
        <v>52.81</v>
      </c>
      <c r="F295" s="314">
        <v>27.27</v>
      </c>
      <c r="G295" s="314"/>
      <c r="H295" s="330">
        <f>H292</f>
        <v>33.692999999999998</v>
      </c>
      <c r="I295" s="314"/>
      <c r="J295" s="314">
        <v>46.4</v>
      </c>
      <c r="K295" s="328"/>
      <c r="L295" s="328"/>
      <c r="M295" s="328"/>
      <c r="N295" s="280"/>
      <c r="O295" s="280"/>
      <c r="P295" s="280"/>
      <c r="Q295" s="280"/>
      <c r="R295" s="280"/>
      <c r="S295" s="280"/>
      <c r="T295" s="280"/>
    </row>
    <row r="296" spans="1:20" s="283" customFormat="1" x14ac:dyDescent="0.25">
      <c r="A296" s="289" t="s">
        <v>679</v>
      </c>
      <c r="B296" s="271" t="s">
        <v>62</v>
      </c>
      <c r="C296" s="288" t="s">
        <v>748</v>
      </c>
      <c r="D296" s="307" t="s">
        <v>286</v>
      </c>
      <c r="E296" s="307" t="s">
        <v>286</v>
      </c>
      <c r="F296" s="307" t="s">
        <v>286</v>
      </c>
      <c r="G296" s="307" t="s">
        <v>286</v>
      </c>
      <c r="H296" s="307" t="s">
        <v>286</v>
      </c>
      <c r="I296" s="307" t="s">
        <v>286</v>
      </c>
      <c r="J296" s="307" t="s">
        <v>286</v>
      </c>
      <c r="K296" s="307" t="s">
        <v>286</v>
      </c>
      <c r="L296" s="307" t="s">
        <v>286</v>
      </c>
      <c r="M296" s="307" t="s">
        <v>286</v>
      </c>
      <c r="N296" s="307" t="s">
        <v>286</v>
      </c>
      <c r="O296" s="307" t="s">
        <v>286</v>
      </c>
      <c r="P296" s="307" t="s">
        <v>286</v>
      </c>
      <c r="Q296" s="307"/>
      <c r="R296" s="307"/>
      <c r="S296" s="307" t="s">
        <v>286</v>
      </c>
      <c r="T296" s="307" t="s">
        <v>286</v>
      </c>
    </row>
    <row r="297" spans="1:20" s="283" customFormat="1" ht="31.5" x14ac:dyDescent="0.25">
      <c r="A297" s="289" t="s">
        <v>675</v>
      </c>
      <c r="B297" s="136" t="s">
        <v>902</v>
      </c>
      <c r="C297" s="288" t="s">
        <v>748</v>
      </c>
      <c r="D297" s="307" t="s">
        <v>286</v>
      </c>
      <c r="E297" s="307" t="s">
        <v>286</v>
      </c>
      <c r="F297" s="307" t="s">
        <v>286</v>
      </c>
      <c r="G297" s="307" t="s">
        <v>286</v>
      </c>
      <c r="H297" s="307" t="s">
        <v>286</v>
      </c>
      <c r="I297" s="307" t="s">
        <v>286</v>
      </c>
      <c r="J297" s="307" t="s">
        <v>286</v>
      </c>
      <c r="K297" s="307" t="s">
        <v>286</v>
      </c>
      <c r="L297" s="307" t="s">
        <v>286</v>
      </c>
      <c r="M297" s="307" t="s">
        <v>286</v>
      </c>
      <c r="N297" s="307" t="s">
        <v>286</v>
      </c>
      <c r="O297" s="307" t="s">
        <v>286</v>
      </c>
      <c r="P297" s="307" t="s">
        <v>286</v>
      </c>
      <c r="Q297" s="307"/>
      <c r="R297" s="307"/>
      <c r="S297" s="307" t="s">
        <v>286</v>
      </c>
      <c r="T297" s="307" t="s">
        <v>286</v>
      </c>
    </row>
    <row r="298" spans="1:20" s="283" customFormat="1" x14ac:dyDescent="0.25">
      <c r="A298" s="289" t="s">
        <v>680</v>
      </c>
      <c r="B298" s="270" t="s">
        <v>62</v>
      </c>
      <c r="C298" s="288" t="s">
        <v>748</v>
      </c>
      <c r="D298" s="307" t="s">
        <v>286</v>
      </c>
      <c r="E298" s="307" t="s">
        <v>286</v>
      </c>
      <c r="F298" s="307" t="s">
        <v>286</v>
      </c>
      <c r="G298" s="307" t="s">
        <v>286</v>
      </c>
      <c r="H298" s="307" t="s">
        <v>286</v>
      </c>
      <c r="I298" s="307" t="s">
        <v>286</v>
      </c>
      <c r="J298" s="307" t="s">
        <v>286</v>
      </c>
      <c r="K298" s="307" t="s">
        <v>286</v>
      </c>
      <c r="L298" s="307" t="s">
        <v>286</v>
      </c>
      <c r="M298" s="307" t="s">
        <v>286</v>
      </c>
      <c r="N298" s="307" t="s">
        <v>286</v>
      </c>
      <c r="O298" s="307" t="s">
        <v>286</v>
      </c>
      <c r="P298" s="307" t="s">
        <v>286</v>
      </c>
      <c r="Q298" s="307"/>
      <c r="R298" s="307"/>
      <c r="S298" s="307" t="s">
        <v>286</v>
      </c>
      <c r="T298" s="307" t="s">
        <v>286</v>
      </c>
    </row>
    <row r="299" spans="1:20" s="283" customFormat="1" x14ac:dyDescent="0.25">
      <c r="A299" s="289" t="s">
        <v>681</v>
      </c>
      <c r="B299" s="136" t="s">
        <v>699</v>
      </c>
      <c r="C299" s="288" t="s">
        <v>748</v>
      </c>
      <c r="D299" s="307" t="s">
        <v>286</v>
      </c>
      <c r="E299" s="307" t="s">
        <v>286</v>
      </c>
      <c r="F299" s="307" t="s">
        <v>286</v>
      </c>
      <c r="G299" s="307" t="s">
        <v>286</v>
      </c>
      <c r="H299" s="307" t="s">
        <v>286</v>
      </c>
      <c r="I299" s="307" t="s">
        <v>286</v>
      </c>
      <c r="J299" s="307" t="s">
        <v>286</v>
      </c>
      <c r="K299" s="307" t="s">
        <v>286</v>
      </c>
      <c r="L299" s="307" t="s">
        <v>286</v>
      </c>
      <c r="M299" s="307" t="s">
        <v>286</v>
      </c>
      <c r="N299" s="307" t="s">
        <v>286</v>
      </c>
      <c r="O299" s="307" t="s">
        <v>286</v>
      </c>
      <c r="P299" s="307" t="s">
        <v>286</v>
      </c>
      <c r="Q299" s="307"/>
      <c r="R299" s="307"/>
      <c r="S299" s="307" t="s">
        <v>286</v>
      </c>
      <c r="T299" s="307" t="s">
        <v>286</v>
      </c>
    </row>
    <row r="300" spans="1:20" s="283" customFormat="1" x14ac:dyDescent="0.25">
      <c r="A300" s="289" t="s">
        <v>686</v>
      </c>
      <c r="B300" s="270" t="s">
        <v>62</v>
      </c>
      <c r="C300" s="288" t="s">
        <v>748</v>
      </c>
      <c r="D300" s="307" t="s">
        <v>286</v>
      </c>
      <c r="E300" s="307" t="s">
        <v>286</v>
      </c>
      <c r="F300" s="307" t="s">
        <v>286</v>
      </c>
      <c r="G300" s="307" t="s">
        <v>286</v>
      </c>
      <c r="H300" s="307" t="s">
        <v>286</v>
      </c>
      <c r="I300" s="307" t="s">
        <v>286</v>
      </c>
      <c r="J300" s="307" t="s">
        <v>286</v>
      </c>
      <c r="K300" s="307" t="s">
        <v>286</v>
      </c>
      <c r="L300" s="307" t="s">
        <v>286</v>
      </c>
      <c r="M300" s="307" t="s">
        <v>286</v>
      </c>
      <c r="N300" s="307" t="s">
        <v>286</v>
      </c>
      <c r="O300" s="307" t="s">
        <v>286</v>
      </c>
      <c r="P300" s="307" t="s">
        <v>286</v>
      </c>
      <c r="Q300" s="307"/>
      <c r="R300" s="307"/>
      <c r="S300" s="307" t="s">
        <v>286</v>
      </c>
      <c r="T300" s="307" t="s">
        <v>286</v>
      </c>
    </row>
    <row r="301" spans="1:20" s="283" customFormat="1" x14ac:dyDescent="0.25">
      <c r="A301" s="289" t="s">
        <v>682</v>
      </c>
      <c r="B301" s="136" t="s">
        <v>700</v>
      </c>
      <c r="C301" s="288" t="s">
        <v>748</v>
      </c>
      <c r="D301" s="288">
        <v>24.01</v>
      </c>
      <c r="E301" s="314"/>
      <c r="F301" s="314">
        <v>27.8</v>
      </c>
      <c r="G301" s="314"/>
      <c r="H301" s="330">
        <v>28.608000000000001</v>
      </c>
      <c r="I301" s="314"/>
      <c r="J301" s="314">
        <v>31.683</v>
      </c>
      <c r="K301" s="328"/>
      <c r="L301" s="382">
        <v>37.317999999999998</v>
      </c>
      <c r="M301" s="381"/>
      <c r="N301" s="280"/>
      <c r="O301" s="280"/>
      <c r="P301" s="280"/>
      <c r="Q301" s="280"/>
      <c r="R301" s="280"/>
      <c r="S301" s="280"/>
      <c r="T301" s="280"/>
    </row>
    <row r="302" spans="1:20" s="283" customFormat="1" x14ac:dyDescent="0.25">
      <c r="A302" s="289" t="s">
        <v>687</v>
      </c>
      <c r="B302" s="270" t="s">
        <v>62</v>
      </c>
      <c r="C302" s="288" t="s">
        <v>748</v>
      </c>
      <c r="D302" s="288"/>
      <c r="E302" s="288"/>
      <c r="F302" s="328"/>
      <c r="G302" s="328"/>
      <c r="H302" s="314"/>
      <c r="I302" s="314"/>
      <c r="J302" s="314"/>
      <c r="K302" s="328"/>
      <c r="L302" s="328"/>
      <c r="M302" s="381"/>
      <c r="N302" s="280"/>
      <c r="O302" s="280"/>
      <c r="P302" s="280"/>
      <c r="Q302" s="280"/>
      <c r="R302" s="280"/>
      <c r="S302" s="280"/>
      <c r="T302" s="280"/>
    </row>
    <row r="303" spans="1:20" s="283" customFormat="1" x14ac:dyDescent="0.25">
      <c r="A303" s="289" t="s">
        <v>683</v>
      </c>
      <c r="B303" s="136" t="s">
        <v>701</v>
      </c>
      <c r="C303" s="288" t="s">
        <v>748</v>
      </c>
      <c r="D303" s="288">
        <v>91.52</v>
      </c>
      <c r="E303" s="314">
        <v>108.16</v>
      </c>
      <c r="F303" s="314">
        <v>94.09</v>
      </c>
      <c r="G303" s="314"/>
      <c r="H303" s="330">
        <v>94.117000000000004</v>
      </c>
      <c r="I303" s="314"/>
      <c r="J303" s="314">
        <v>117.08</v>
      </c>
      <c r="K303" s="328"/>
      <c r="L303" s="382">
        <v>122.78</v>
      </c>
      <c r="M303" s="381"/>
      <c r="N303" s="280"/>
      <c r="O303" s="280"/>
      <c r="P303" s="280"/>
      <c r="Q303" s="280"/>
      <c r="R303" s="280"/>
      <c r="S303" s="280"/>
      <c r="T303" s="280"/>
    </row>
    <row r="304" spans="1:20" s="283" customFormat="1" x14ac:dyDescent="0.25">
      <c r="A304" s="289" t="s">
        <v>688</v>
      </c>
      <c r="B304" s="270" t="s">
        <v>62</v>
      </c>
      <c r="C304" s="288" t="s">
        <v>748</v>
      </c>
      <c r="D304" s="307" t="s">
        <v>286</v>
      </c>
      <c r="E304" s="307" t="s">
        <v>286</v>
      </c>
      <c r="F304" s="307" t="s">
        <v>286</v>
      </c>
      <c r="G304" s="307" t="s">
        <v>286</v>
      </c>
      <c r="H304" s="307" t="s">
        <v>286</v>
      </c>
      <c r="I304" s="307" t="s">
        <v>286</v>
      </c>
      <c r="J304" s="307" t="s">
        <v>286</v>
      </c>
      <c r="K304" s="307" t="s">
        <v>286</v>
      </c>
      <c r="L304" s="307" t="s">
        <v>286</v>
      </c>
      <c r="M304" s="307" t="s">
        <v>286</v>
      </c>
      <c r="N304" s="307" t="s">
        <v>286</v>
      </c>
      <c r="O304" s="307" t="s">
        <v>286</v>
      </c>
      <c r="P304" s="307" t="s">
        <v>286</v>
      </c>
      <c r="Q304" s="307"/>
      <c r="R304" s="307"/>
      <c r="S304" s="307" t="s">
        <v>286</v>
      </c>
      <c r="T304" s="307" t="s">
        <v>286</v>
      </c>
    </row>
    <row r="305" spans="1:20" s="283" customFormat="1" x14ac:dyDescent="0.25">
      <c r="A305" s="289" t="s">
        <v>684</v>
      </c>
      <c r="B305" s="136" t="s">
        <v>702</v>
      </c>
      <c r="C305" s="288" t="s">
        <v>748</v>
      </c>
      <c r="D305" s="307" t="s">
        <v>286</v>
      </c>
      <c r="E305" s="307" t="s">
        <v>286</v>
      </c>
      <c r="F305" s="307" t="s">
        <v>286</v>
      </c>
      <c r="G305" s="307" t="s">
        <v>286</v>
      </c>
      <c r="H305" s="307" t="s">
        <v>286</v>
      </c>
      <c r="I305" s="307" t="s">
        <v>286</v>
      </c>
      <c r="J305" s="307" t="s">
        <v>286</v>
      </c>
      <c r="K305" s="307" t="s">
        <v>286</v>
      </c>
      <c r="L305" s="307" t="s">
        <v>286</v>
      </c>
      <c r="M305" s="307" t="s">
        <v>286</v>
      </c>
      <c r="N305" s="307" t="s">
        <v>286</v>
      </c>
      <c r="O305" s="307" t="s">
        <v>286</v>
      </c>
      <c r="P305" s="307" t="s">
        <v>286</v>
      </c>
      <c r="Q305" s="307"/>
      <c r="R305" s="307"/>
      <c r="S305" s="307" t="s">
        <v>286</v>
      </c>
      <c r="T305" s="307" t="s">
        <v>286</v>
      </c>
    </row>
    <row r="306" spans="1:20" s="283" customFormat="1" x14ac:dyDescent="0.25">
      <c r="A306" s="289" t="s">
        <v>689</v>
      </c>
      <c r="B306" s="270" t="s">
        <v>62</v>
      </c>
      <c r="C306" s="288" t="s">
        <v>748</v>
      </c>
      <c r="D306" s="307" t="s">
        <v>286</v>
      </c>
      <c r="E306" s="307" t="s">
        <v>286</v>
      </c>
      <c r="F306" s="307" t="s">
        <v>286</v>
      </c>
      <c r="G306" s="307" t="s">
        <v>286</v>
      </c>
      <c r="H306" s="307" t="s">
        <v>286</v>
      </c>
      <c r="I306" s="307" t="s">
        <v>286</v>
      </c>
      <c r="J306" s="307" t="s">
        <v>286</v>
      </c>
      <c r="K306" s="307" t="s">
        <v>286</v>
      </c>
      <c r="L306" s="307" t="s">
        <v>286</v>
      </c>
      <c r="M306" s="307" t="s">
        <v>286</v>
      </c>
      <c r="N306" s="307" t="s">
        <v>286</v>
      </c>
      <c r="O306" s="307" t="s">
        <v>286</v>
      </c>
      <c r="P306" s="307" t="s">
        <v>286</v>
      </c>
      <c r="Q306" s="307"/>
      <c r="R306" s="307"/>
      <c r="S306" s="307" t="s">
        <v>286</v>
      </c>
      <c r="T306" s="307" t="s">
        <v>286</v>
      </c>
    </row>
    <row r="307" spans="1:20" s="283" customFormat="1" ht="31.5" x14ac:dyDescent="0.25">
      <c r="A307" s="289" t="s">
        <v>685</v>
      </c>
      <c r="B307" s="136" t="s">
        <v>733</v>
      </c>
      <c r="C307" s="288" t="s">
        <v>748</v>
      </c>
      <c r="D307" s="307" t="s">
        <v>286</v>
      </c>
      <c r="E307" s="307" t="s">
        <v>286</v>
      </c>
      <c r="F307" s="307" t="s">
        <v>286</v>
      </c>
      <c r="G307" s="307" t="s">
        <v>286</v>
      </c>
      <c r="H307" s="307" t="s">
        <v>286</v>
      </c>
      <c r="I307" s="307" t="s">
        <v>286</v>
      </c>
      <c r="J307" s="307" t="s">
        <v>286</v>
      </c>
      <c r="K307" s="307" t="s">
        <v>286</v>
      </c>
      <c r="L307" s="307" t="s">
        <v>286</v>
      </c>
      <c r="M307" s="307" t="s">
        <v>286</v>
      </c>
      <c r="N307" s="307" t="s">
        <v>286</v>
      </c>
      <c r="O307" s="307" t="s">
        <v>286</v>
      </c>
      <c r="P307" s="307" t="s">
        <v>286</v>
      </c>
      <c r="Q307" s="307"/>
      <c r="R307" s="307"/>
      <c r="S307" s="307" t="s">
        <v>286</v>
      </c>
      <c r="T307" s="307" t="s">
        <v>286</v>
      </c>
    </row>
    <row r="308" spans="1:20" s="283" customFormat="1" x14ac:dyDescent="0.25">
      <c r="A308" s="289" t="s">
        <v>690</v>
      </c>
      <c r="B308" s="270" t="s">
        <v>62</v>
      </c>
      <c r="C308" s="288" t="s">
        <v>748</v>
      </c>
      <c r="D308" s="307" t="s">
        <v>286</v>
      </c>
      <c r="E308" s="307" t="s">
        <v>286</v>
      </c>
      <c r="F308" s="307" t="s">
        <v>286</v>
      </c>
      <c r="G308" s="307" t="s">
        <v>286</v>
      </c>
      <c r="H308" s="307" t="s">
        <v>286</v>
      </c>
      <c r="I308" s="307" t="s">
        <v>286</v>
      </c>
      <c r="J308" s="307" t="s">
        <v>286</v>
      </c>
      <c r="K308" s="307" t="s">
        <v>286</v>
      </c>
      <c r="L308" s="307" t="s">
        <v>286</v>
      </c>
      <c r="M308" s="307" t="s">
        <v>286</v>
      </c>
      <c r="N308" s="307" t="s">
        <v>286</v>
      </c>
      <c r="O308" s="307" t="s">
        <v>286</v>
      </c>
      <c r="P308" s="307" t="s">
        <v>286</v>
      </c>
      <c r="Q308" s="307"/>
      <c r="R308" s="307"/>
      <c r="S308" s="307" t="s">
        <v>286</v>
      </c>
      <c r="T308" s="307" t="s">
        <v>286</v>
      </c>
    </row>
    <row r="309" spans="1:20" s="283" customFormat="1" x14ac:dyDescent="0.25">
      <c r="A309" s="289" t="s">
        <v>911</v>
      </c>
      <c r="B309" s="270" t="s">
        <v>912</v>
      </c>
      <c r="C309" s="288" t="s">
        <v>748</v>
      </c>
      <c r="D309" s="288">
        <v>47.7</v>
      </c>
      <c r="E309" s="314">
        <v>63.65</v>
      </c>
      <c r="F309" s="314">
        <v>79.64</v>
      </c>
      <c r="G309" s="314"/>
      <c r="H309" s="330">
        <f>H289-H292-H301-H303</f>
        <v>159.952</v>
      </c>
      <c r="I309" s="314"/>
      <c r="J309" s="314">
        <v>67.587000000000074</v>
      </c>
      <c r="K309" s="328"/>
      <c r="L309" s="307">
        <v>131.89599999999999</v>
      </c>
      <c r="M309" s="328"/>
      <c r="N309" s="280"/>
      <c r="O309" s="280"/>
      <c r="P309" s="280"/>
      <c r="Q309" s="280"/>
      <c r="R309" s="280"/>
      <c r="S309" s="280"/>
      <c r="T309" s="280"/>
    </row>
    <row r="310" spans="1:20" s="283" customFormat="1" x14ac:dyDescent="0.25">
      <c r="A310" s="289" t="s">
        <v>1118</v>
      </c>
      <c r="B310" s="270" t="s">
        <v>62</v>
      </c>
      <c r="C310" s="288" t="s">
        <v>748</v>
      </c>
      <c r="D310" s="307" t="s">
        <v>286</v>
      </c>
      <c r="E310" s="307" t="s">
        <v>286</v>
      </c>
      <c r="F310" s="307" t="s">
        <v>286</v>
      </c>
      <c r="G310" s="307" t="s">
        <v>286</v>
      </c>
      <c r="H310" s="307" t="s">
        <v>286</v>
      </c>
      <c r="I310" s="307" t="s">
        <v>286</v>
      </c>
      <c r="J310" s="307" t="s">
        <v>286</v>
      </c>
      <c r="K310" s="307" t="s">
        <v>286</v>
      </c>
      <c r="L310" s="307" t="s">
        <v>286</v>
      </c>
      <c r="M310" s="307" t="s">
        <v>286</v>
      </c>
      <c r="N310" s="307" t="s">
        <v>286</v>
      </c>
      <c r="O310" s="307" t="s">
        <v>286</v>
      </c>
      <c r="P310" s="307" t="s">
        <v>286</v>
      </c>
      <c r="Q310" s="307"/>
      <c r="R310" s="307"/>
      <c r="S310" s="307" t="s">
        <v>286</v>
      </c>
      <c r="T310" s="307" t="s">
        <v>286</v>
      </c>
    </row>
    <row r="311" spans="1:20" s="285" customFormat="1" x14ac:dyDescent="0.25">
      <c r="A311" s="289" t="s">
        <v>1109</v>
      </c>
      <c r="B311" s="136" t="s">
        <v>1108</v>
      </c>
      <c r="C311" s="288" t="s">
        <v>748</v>
      </c>
      <c r="D311" s="307" t="s">
        <v>286</v>
      </c>
      <c r="E311" s="307" t="s">
        <v>286</v>
      </c>
      <c r="F311" s="307" t="s">
        <v>286</v>
      </c>
      <c r="G311" s="307" t="s">
        <v>286</v>
      </c>
      <c r="H311" s="307" t="s">
        <v>286</v>
      </c>
      <c r="I311" s="307" t="s">
        <v>286</v>
      </c>
      <c r="J311" s="307" t="s">
        <v>286</v>
      </c>
      <c r="K311" s="307" t="s">
        <v>286</v>
      </c>
      <c r="L311" s="307" t="s">
        <v>286</v>
      </c>
      <c r="M311" s="307" t="s">
        <v>286</v>
      </c>
      <c r="N311" s="307" t="s">
        <v>286</v>
      </c>
      <c r="O311" s="307" t="s">
        <v>286</v>
      </c>
      <c r="P311" s="307" t="s">
        <v>286</v>
      </c>
      <c r="Q311" s="307"/>
      <c r="R311" s="307"/>
      <c r="S311" s="307" t="s">
        <v>286</v>
      </c>
      <c r="T311" s="307" t="s">
        <v>286</v>
      </c>
    </row>
    <row r="312" spans="1:20" s="283" customFormat="1" ht="31.5" x14ac:dyDescent="0.25">
      <c r="A312" s="289" t="s">
        <v>571</v>
      </c>
      <c r="B312" s="269" t="s">
        <v>1035</v>
      </c>
      <c r="C312" s="288" t="s">
        <v>33</v>
      </c>
      <c r="D312" s="345">
        <f t="shared" ref="D312:G312" si="104">D173/(D18*1.2)</f>
        <v>1.0083456404826259</v>
      </c>
      <c r="E312" s="345">
        <f t="shared" si="104"/>
        <v>1.0104857195682573</v>
      </c>
      <c r="F312" s="345">
        <f t="shared" si="104"/>
        <v>1.001966056057547</v>
      </c>
      <c r="G312" s="345">
        <f t="shared" si="104"/>
        <v>1.0000000000000002</v>
      </c>
      <c r="H312" s="345">
        <f>H173/(H18*1.2)</f>
        <v>1.050730098995619</v>
      </c>
      <c r="I312" s="345">
        <f>I173/(I18*1.2)</f>
        <v>1.0025112576593913</v>
      </c>
      <c r="J312" s="345">
        <f>J173/(J18*1.2)</f>
        <v>1.0096627892724011</v>
      </c>
      <c r="K312" s="345">
        <f>K173/(K18*1.2)</f>
        <v>0.99876497187782476</v>
      </c>
      <c r="L312" s="378">
        <v>0.98881195430180935</v>
      </c>
      <c r="M312" s="345">
        <f>M173/(M18*1.2)</f>
        <v>1.0016006601540364</v>
      </c>
      <c r="N312" s="280"/>
      <c r="O312" s="345">
        <f>O173/(O18*1.2)</f>
        <v>1</v>
      </c>
      <c r="P312" s="280"/>
      <c r="Q312" s="345">
        <f t="shared" ref="Q312:R312" si="105">Q173/(Q18*1.2)</f>
        <v>0.99999999999999989</v>
      </c>
      <c r="R312" s="345">
        <f t="shared" si="105"/>
        <v>0.99999999999999989</v>
      </c>
      <c r="S312" s="345">
        <f t="shared" ref="S312" si="106">S173/(S18*1.2)</f>
        <v>1.0005636423142503</v>
      </c>
      <c r="T312" s="345"/>
    </row>
    <row r="313" spans="1:20" s="283" customFormat="1" x14ac:dyDescent="0.25">
      <c r="A313" s="289" t="s">
        <v>691</v>
      </c>
      <c r="B313" s="136" t="s">
        <v>946</v>
      </c>
      <c r="C313" s="288" t="s">
        <v>33</v>
      </c>
      <c r="D313" s="307" t="s">
        <v>286</v>
      </c>
      <c r="E313" s="307" t="s">
        <v>286</v>
      </c>
      <c r="F313" s="307" t="s">
        <v>286</v>
      </c>
      <c r="G313" s="307" t="s">
        <v>286</v>
      </c>
      <c r="H313" s="307" t="s">
        <v>286</v>
      </c>
      <c r="I313" s="307" t="s">
        <v>286</v>
      </c>
      <c r="J313" s="307" t="s">
        <v>286</v>
      </c>
      <c r="K313" s="307" t="s">
        <v>286</v>
      </c>
      <c r="L313" s="307" t="s">
        <v>286</v>
      </c>
      <c r="M313" s="307" t="s">
        <v>286</v>
      </c>
      <c r="N313" s="307" t="s">
        <v>286</v>
      </c>
      <c r="O313" s="307" t="s">
        <v>286</v>
      </c>
      <c r="P313" s="307" t="s">
        <v>286</v>
      </c>
      <c r="Q313" s="307"/>
      <c r="R313" s="307"/>
      <c r="S313" s="307" t="s">
        <v>286</v>
      </c>
      <c r="T313" s="307" t="s">
        <v>286</v>
      </c>
    </row>
    <row r="314" spans="1:20" s="283" customFormat="1" ht="31.5" x14ac:dyDescent="0.25">
      <c r="A314" s="289" t="s">
        <v>913</v>
      </c>
      <c r="B314" s="136" t="s">
        <v>947</v>
      </c>
      <c r="C314" s="288" t="s">
        <v>33</v>
      </c>
      <c r="D314" s="307" t="s">
        <v>286</v>
      </c>
      <c r="E314" s="307" t="s">
        <v>286</v>
      </c>
      <c r="F314" s="307" t="s">
        <v>286</v>
      </c>
      <c r="G314" s="307" t="s">
        <v>286</v>
      </c>
      <c r="H314" s="307" t="s">
        <v>286</v>
      </c>
      <c r="I314" s="307" t="s">
        <v>286</v>
      </c>
      <c r="J314" s="307" t="s">
        <v>286</v>
      </c>
      <c r="K314" s="307" t="s">
        <v>286</v>
      </c>
      <c r="L314" s="307" t="s">
        <v>286</v>
      </c>
      <c r="M314" s="307" t="s">
        <v>286</v>
      </c>
      <c r="N314" s="307" t="s">
        <v>286</v>
      </c>
      <c r="O314" s="307" t="s">
        <v>286</v>
      </c>
      <c r="P314" s="307" t="s">
        <v>286</v>
      </c>
      <c r="Q314" s="307"/>
      <c r="R314" s="307"/>
      <c r="S314" s="307" t="s">
        <v>286</v>
      </c>
      <c r="T314" s="307" t="s">
        <v>286</v>
      </c>
    </row>
    <row r="315" spans="1:20" s="283" customFormat="1" ht="31.5" x14ac:dyDescent="0.25">
      <c r="A315" s="289" t="s">
        <v>914</v>
      </c>
      <c r="B315" s="136" t="s">
        <v>948</v>
      </c>
      <c r="C315" s="288" t="s">
        <v>33</v>
      </c>
      <c r="D315" s="307" t="s">
        <v>286</v>
      </c>
      <c r="E315" s="307" t="s">
        <v>286</v>
      </c>
      <c r="F315" s="307" t="s">
        <v>286</v>
      </c>
      <c r="G315" s="307" t="s">
        <v>286</v>
      </c>
      <c r="H315" s="307" t="s">
        <v>286</v>
      </c>
      <c r="I315" s="307" t="s">
        <v>286</v>
      </c>
      <c r="J315" s="307" t="s">
        <v>286</v>
      </c>
      <c r="K315" s="307" t="s">
        <v>286</v>
      </c>
      <c r="L315" s="307" t="s">
        <v>286</v>
      </c>
      <c r="M315" s="307" t="s">
        <v>286</v>
      </c>
      <c r="N315" s="307" t="s">
        <v>286</v>
      </c>
      <c r="O315" s="307" t="s">
        <v>286</v>
      </c>
      <c r="P315" s="307" t="s">
        <v>286</v>
      </c>
      <c r="Q315" s="307"/>
      <c r="R315" s="307"/>
      <c r="S315" s="307" t="s">
        <v>286</v>
      </c>
      <c r="T315" s="307" t="s">
        <v>286</v>
      </c>
    </row>
    <row r="316" spans="1:20" s="283" customFormat="1" ht="31.5" x14ac:dyDescent="0.25">
      <c r="A316" s="289" t="s">
        <v>997</v>
      </c>
      <c r="B316" s="136" t="s">
        <v>949</v>
      </c>
      <c r="C316" s="288" t="s">
        <v>33</v>
      </c>
      <c r="D316" s="307" t="s">
        <v>286</v>
      </c>
      <c r="E316" s="307" t="s">
        <v>286</v>
      </c>
      <c r="F316" s="307" t="s">
        <v>286</v>
      </c>
      <c r="G316" s="307" t="s">
        <v>286</v>
      </c>
      <c r="H316" s="307" t="s">
        <v>286</v>
      </c>
      <c r="I316" s="307" t="s">
        <v>286</v>
      </c>
      <c r="J316" s="307" t="s">
        <v>286</v>
      </c>
      <c r="K316" s="307" t="s">
        <v>286</v>
      </c>
      <c r="L316" s="307" t="s">
        <v>286</v>
      </c>
      <c r="M316" s="307" t="s">
        <v>286</v>
      </c>
      <c r="N316" s="307" t="s">
        <v>286</v>
      </c>
      <c r="O316" s="307" t="s">
        <v>286</v>
      </c>
      <c r="P316" s="307" t="s">
        <v>286</v>
      </c>
      <c r="Q316" s="307"/>
      <c r="R316" s="307"/>
      <c r="S316" s="307" t="s">
        <v>286</v>
      </c>
      <c r="T316" s="307" t="s">
        <v>286</v>
      </c>
    </row>
    <row r="317" spans="1:20" s="283" customFormat="1" x14ac:dyDescent="0.25">
      <c r="A317" s="289" t="s">
        <v>692</v>
      </c>
      <c r="B317" s="268" t="s">
        <v>1057</v>
      </c>
      <c r="C317" s="288" t="s">
        <v>33</v>
      </c>
      <c r="D317" s="307" t="s">
        <v>286</v>
      </c>
      <c r="E317" s="307" t="s">
        <v>286</v>
      </c>
      <c r="F317" s="307" t="s">
        <v>286</v>
      </c>
      <c r="G317" s="307" t="s">
        <v>286</v>
      </c>
      <c r="H317" s="307" t="s">
        <v>286</v>
      </c>
      <c r="I317" s="307" t="s">
        <v>286</v>
      </c>
      <c r="J317" s="307" t="s">
        <v>286</v>
      </c>
      <c r="K317" s="307" t="s">
        <v>286</v>
      </c>
      <c r="L317" s="307" t="s">
        <v>286</v>
      </c>
      <c r="M317" s="307" t="s">
        <v>286</v>
      </c>
      <c r="N317" s="307" t="s">
        <v>286</v>
      </c>
      <c r="O317" s="307" t="s">
        <v>286</v>
      </c>
      <c r="P317" s="307" t="s">
        <v>286</v>
      </c>
      <c r="Q317" s="307"/>
      <c r="R317" s="307"/>
      <c r="S317" s="307" t="s">
        <v>286</v>
      </c>
      <c r="T317" s="307" t="s">
        <v>286</v>
      </c>
    </row>
    <row r="318" spans="1:20" s="283" customFormat="1" x14ac:dyDescent="0.25">
      <c r="A318" s="289" t="s">
        <v>693</v>
      </c>
      <c r="B318" s="268" t="s">
        <v>950</v>
      </c>
      <c r="C318" s="288" t="s">
        <v>33</v>
      </c>
      <c r="D318" s="343">
        <v>99.938435338728155</v>
      </c>
      <c r="E318" s="343">
        <v>99.69</v>
      </c>
      <c r="F318" s="344">
        <v>0.83335086061926955</v>
      </c>
      <c r="G318" s="345">
        <f>G179/(G24*1.2)</f>
        <v>1</v>
      </c>
      <c r="H318" s="345">
        <f>H179/(H24*1.2)</f>
        <v>1.0033256945128188</v>
      </c>
      <c r="I318" s="345">
        <f t="shared" ref="I318:M318" si="107">I179/(I24*1.2)</f>
        <v>1</v>
      </c>
      <c r="J318" s="345">
        <f t="shared" si="107"/>
        <v>0.99392567365580053</v>
      </c>
      <c r="K318" s="345">
        <f t="shared" si="107"/>
        <v>1</v>
      </c>
      <c r="L318" s="385">
        <v>0.99751560260473349</v>
      </c>
      <c r="M318" s="345">
        <f t="shared" si="107"/>
        <v>0.9951529157250415</v>
      </c>
      <c r="N318" s="280"/>
      <c r="O318" s="280"/>
      <c r="P318" s="280"/>
      <c r="Q318" s="280"/>
      <c r="R318" s="280"/>
      <c r="S318" s="280"/>
      <c r="T318" s="280"/>
    </row>
    <row r="319" spans="1:20" s="283" customFormat="1" x14ac:dyDescent="0.25">
      <c r="A319" s="289" t="s">
        <v>694</v>
      </c>
      <c r="B319" s="268" t="s">
        <v>1050</v>
      </c>
      <c r="C319" s="288" t="s">
        <v>33</v>
      </c>
      <c r="D319" s="307" t="s">
        <v>286</v>
      </c>
      <c r="E319" s="307" t="s">
        <v>286</v>
      </c>
      <c r="F319" s="307" t="s">
        <v>286</v>
      </c>
      <c r="G319" s="307" t="s">
        <v>286</v>
      </c>
      <c r="H319" s="307" t="s">
        <v>286</v>
      </c>
      <c r="I319" s="307" t="s">
        <v>286</v>
      </c>
      <c r="J319" s="307" t="s">
        <v>286</v>
      </c>
      <c r="K319" s="307" t="s">
        <v>286</v>
      </c>
      <c r="L319" s="307" t="s">
        <v>286</v>
      </c>
      <c r="M319" s="307" t="s">
        <v>286</v>
      </c>
      <c r="N319" s="307" t="s">
        <v>286</v>
      </c>
      <c r="O319" s="307" t="s">
        <v>286</v>
      </c>
      <c r="P319" s="307" t="s">
        <v>286</v>
      </c>
      <c r="Q319" s="307"/>
      <c r="R319" s="307"/>
      <c r="S319" s="307" t="s">
        <v>286</v>
      </c>
      <c r="T319" s="307" t="s">
        <v>286</v>
      </c>
    </row>
    <row r="320" spans="1:20" s="283" customFormat="1" ht="19.5" customHeight="1" x14ac:dyDescent="0.25">
      <c r="A320" s="289" t="s">
        <v>695</v>
      </c>
      <c r="B320" s="268" t="s">
        <v>951</v>
      </c>
      <c r="C320" s="288" t="s">
        <v>33</v>
      </c>
      <c r="D320" s="307" t="s">
        <v>286</v>
      </c>
      <c r="E320" s="307" t="s">
        <v>286</v>
      </c>
      <c r="F320" s="307" t="s">
        <v>286</v>
      </c>
      <c r="G320" s="307" t="s">
        <v>286</v>
      </c>
      <c r="H320" s="307" t="s">
        <v>286</v>
      </c>
      <c r="I320" s="307" t="s">
        <v>286</v>
      </c>
      <c r="J320" s="307" t="s">
        <v>286</v>
      </c>
      <c r="K320" s="307" t="s">
        <v>286</v>
      </c>
      <c r="L320" s="307" t="s">
        <v>286</v>
      </c>
      <c r="M320" s="307" t="s">
        <v>286</v>
      </c>
      <c r="N320" s="307" t="s">
        <v>286</v>
      </c>
      <c r="O320" s="307" t="s">
        <v>286</v>
      </c>
      <c r="P320" s="307" t="s">
        <v>286</v>
      </c>
      <c r="Q320" s="307"/>
      <c r="R320" s="307"/>
      <c r="S320" s="307" t="s">
        <v>286</v>
      </c>
      <c r="T320" s="307" t="s">
        <v>286</v>
      </c>
    </row>
    <row r="321" spans="1:20" s="283" customFormat="1" ht="19.5" customHeight="1" x14ac:dyDescent="0.25">
      <c r="A321" s="289" t="s">
        <v>696</v>
      </c>
      <c r="B321" s="268" t="s">
        <v>1058</v>
      </c>
      <c r="C321" s="288" t="s">
        <v>33</v>
      </c>
      <c r="D321" s="307" t="s">
        <v>286</v>
      </c>
      <c r="E321" s="307" t="s">
        <v>286</v>
      </c>
      <c r="F321" s="307" t="s">
        <v>286</v>
      </c>
      <c r="G321" s="307" t="s">
        <v>286</v>
      </c>
      <c r="H321" s="307" t="s">
        <v>286</v>
      </c>
      <c r="I321" s="307" t="s">
        <v>286</v>
      </c>
      <c r="J321" s="307" t="s">
        <v>286</v>
      </c>
      <c r="K321" s="307" t="s">
        <v>286</v>
      </c>
      <c r="L321" s="307" t="s">
        <v>286</v>
      </c>
      <c r="M321" s="307" t="s">
        <v>286</v>
      </c>
      <c r="N321" s="307" t="s">
        <v>286</v>
      </c>
      <c r="O321" s="307" t="s">
        <v>286</v>
      </c>
      <c r="P321" s="307" t="s">
        <v>286</v>
      </c>
      <c r="Q321" s="307"/>
      <c r="R321" s="307"/>
      <c r="S321" s="307" t="s">
        <v>286</v>
      </c>
      <c r="T321" s="307" t="s">
        <v>286</v>
      </c>
    </row>
    <row r="322" spans="1:20" s="283" customFormat="1" ht="36.75" customHeight="1" x14ac:dyDescent="0.25">
      <c r="A322" s="289" t="s">
        <v>697</v>
      </c>
      <c r="B322" s="136" t="s">
        <v>1036</v>
      </c>
      <c r="C322" s="288" t="s">
        <v>33</v>
      </c>
      <c r="D322" s="307" t="s">
        <v>286</v>
      </c>
      <c r="E322" s="307" t="s">
        <v>286</v>
      </c>
      <c r="F322" s="307" t="s">
        <v>286</v>
      </c>
      <c r="G322" s="307" t="s">
        <v>286</v>
      </c>
      <c r="H322" s="307" t="s">
        <v>286</v>
      </c>
      <c r="I322" s="307" t="s">
        <v>286</v>
      </c>
      <c r="J322" s="307" t="s">
        <v>286</v>
      </c>
      <c r="K322" s="307" t="s">
        <v>286</v>
      </c>
      <c r="L322" s="307" t="s">
        <v>286</v>
      </c>
      <c r="M322" s="307" t="s">
        <v>286</v>
      </c>
      <c r="N322" s="307" t="s">
        <v>286</v>
      </c>
      <c r="O322" s="307" t="s">
        <v>286</v>
      </c>
      <c r="P322" s="307" t="s">
        <v>286</v>
      </c>
      <c r="Q322" s="307"/>
      <c r="R322" s="307"/>
      <c r="S322" s="307" t="s">
        <v>286</v>
      </c>
      <c r="T322" s="307" t="s">
        <v>286</v>
      </c>
    </row>
    <row r="323" spans="1:20" s="283" customFormat="1" ht="19.5" customHeight="1" x14ac:dyDescent="0.25">
      <c r="A323" s="289" t="s">
        <v>1075</v>
      </c>
      <c r="B323" s="277" t="s">
        <v>643</v>
      </c>
      <c r="C323" s="288" t="s">
        <v>33</v>
      </c>
      <c r="D323" s="307" t="s">
        <v>286</v>
      </c>
      <c r="E323" s="307" t="s">
        <v>286</v>
      </c>
      <c r="F323" s="307" t="s">
        <v>286</v>
      </c>
      <c r="G323" s="307" t="s">
        <v>286</v>
      </c>
      <c r="H323" s="307" t="s">
        <v>286</v>
      </c>
      <c r="I323" s="307" t="s">
        <v>286</v>
      </c>
      <c r="J323" s="307" t="s">
        <v>286</v>
      </c>
      <c r="K323" s="307" t="s">
        <v>286</v>
      </c>
      <c r="L323" s="307" t="s">
        <v>286</v>
      </c>
      <c r="M323" s="307" t="s">
        <v>286</v>
      </c>
      <c r="N323" s="307" t="s">
        <v>286</v>
      </c>
      <c r="O323" s="307" t="s">
        <v>286</v>
      </c>
      <c r="P323" s="307" t="s">
        <v>286</v>
      </c>
      <c r="Q323" s="307"/>
      <c r="R323" s="307"/>
      <c r="S323" s="307" t="s">
        <v>286</v>
      </c>
      <c r="T323" s="307" t="s">
        <v>286</v>
      </c>
    </row>
    <row r="324" spans="1:20" s="283" customFormat="1" ht="19.5" customHeight="1" x14ac:dyDescent="0.25">
      <c r="A324" s="289" t="s">
        <v>1076</v>
      </c>
      <c r="B324" s="277" t="s">
        <v>631</v>
      </c>
      <c r="C324" s="288" t="s">
        <v>33</v>
      </c>
      <c r="D324" s="307" t="s">
        <v>286</v>
      </c>
      <c r="E324" s="307" t="s">
        <v>286</v>
      </c>
      <c r="F324" s="307" t="s">
        <v>286</v>
      </c>
      <c r="G324" s="307" t="s">
        <v>286</v>
      </c>
      <c r="H324" s="307" t="s">
        <v>286</v>
      </c>
      <c r="I324" s="307" t="s">
        <v>286</v>
      </c>
      <c r="J324" s="307" t="s">
        <v>286</v>
      </c>
      <c r="K324" s="307" t="s">
        <v>286</v>
      </c>
      <c r="L324" s="307" t="s">
        <v>286</v>
      </c>
      <c r="M324" s="307" t="s">
        <v>286</v>
      </c>
      <c r="N324" s="307" t="s">
        <v>286</v>
      </c>
      <c r="O324" s="307" t="s">
        <v>286</v>
      </c>
      <c r="P324" s="307" t="s">
        <v>286</v>
      </c>
      <c r="Q324" s="307"/>
      <c r="R324" s="307"/>
      <c r="S324" s="307" t="s">
        <v>286</v>
      </c>
      <c r="T324" s="307" t="s">
        <v>286</v>
      </c>
    </row>
    <row r="325" spans="1:20" s="283" customFormat="1" ht="15.6" customHeight="1" x14ac:dyDescent="0.25">
      <c r="A325" s="398" t="s">
        <v>1136</v>
      </c>
      <c r="B325" s="398"/>
      <c r="C325" s="398"/>
      <c r="D325" s="398"/>
      <c r="E325" s="398"/>
      <c r="F325" s="398"/>
      <c r="G325" s="398"/>
      <c r="H325" s="398"/>
      <c r="I325" s="398"/>
      <c r="J325" s="398"/>
      <c r="K325" s="398"/>
      <c r="L325" s="398"/>
      <c r="M325" s="398"/>
      <c r="N325" s="398"/>
      <c r="O325" s="398"/>
      <c r="P325" s="398"/>
      <c r="Q325" s="398"/>
      <c r="R325" s="398"/>
      <c r="S325" s="398"/>
      <c r="T325" s="398"/>
    </row>
    <row r="326" spans="1:20" s="292" customFormat="1" ht="31.5" x14ac:dyDescent="0.25">
      <c r="A326" s="298" t="s">
        <v>572</v>
      </c>
      <c r="B326" s="299" t="s">
        <v>608</v>
      </c>
      <c r="C326" s="300" t="s">
        <v>286</v>
      </c>
      <c r="D326" s="300"/>
      <c r="E326" s="302" t="s">
        <v>590</v>
      </c>
      <c r="F326" s="302" t="s">
        <v>590</v>
      </c>
      <c r="G326" s="302" t="s">
        <v>590</v>
      </c>
      <c r="H326" s="302" t="s">
        <v>590</v>
      </c>
      <c r="I326" s="302" t="s">
        <v>590</v>
      </c>
      <c r="J326" s="302" t="s">
        <v>590</v>
      </c>
      <c r="K326" s="302" t="s">
        <v>590</v>
      </c>
      <c r="L326" s="302" t="s">
        <v>590</v>
      </c>
      <c r="M326" s="302" t="s">
        <v>590</v>
      </c>
      <c r="N326" s="302" t="s">
        <v>590</v>
      </c>
      <c r="O326" s="302" t="s">
        <v>590</v>
      </c>
      <c r="P326" s="302" t="s">
        <v>590</v>
      </c>
      <c r="Q326" s="302"/>
      <c r="R326" s="302"/>
      <c r="S326" s="302" t="s">
        <v>590</v>
      </c>
      <c r="T326" s="302" t="s">
        <v>590</v>
      </c>
    </row>
    <row r="327" spans="1:20" x14ac:dyDescent="0.25">
      <c r="A327" s="289" t="s">
        <v>573</v>
      </c>
      <c r="B327" s="269" t="s">
        <v>609</v>
      </c>
      <c r="C327" s="288" t="s">
        <v>36</v>
      </c>
      <c r="D327" s="288"/>
      <c r="E327" s="288"/>
      <c r="F327" s="280"/>
      <c r="G327" s="280"/>
      <c r="H327" s="280"/>
      <c r="I327" s="280"/>
      <c r="J327" s="280"/>
      <c r="K327" s="280"/>
      <c r="L327" s="280"/>
      <c r="M327" s="280"/>
      <c r="N327" s="280"/>
      <c r="O327" s="280"/>
      <c r="P327" s="280"/>
      <c r="Q327" s="280"/>
      <c r="R327" s="280"/>
      <c r="S327" s="280"/>
      <c r="T327" s="280"/>
    </row>
    <row r="328" spans="1:20" x14ac:dyDescent="0.25">
      <c r="A328" s="289" t="s">
        <v>574</v>
      </c>
      <c r="B328" s="269" t="s">
        <v>610</v>
      </c>
      <c r="C328" s="288" t="s">
        <v>611</v>
      </c>
      <c r="D328" s="288"/>
      <c r="E328" s="288"/>
      <c r="F328" s="280"/>
      <c r="G328" s="280"/>
      <c r="H328" s="280"/>
      <c r="I328" s="280"/>
      <c r="J328" s="280"/>
      <c r="K328" s="280"/>
      <c r="L328" s="280"/>
      <c r="M328" s="280"/>
      <c r="N328" s="280"/>
      <c r="O328" s="280"/>
      <c r="P328" s="280"/>
      <c r="Q328" s="280"/>
      <c r="R328" s="280"/>
      <c r="S328" s="280"/>
      <c r="T328" s="280"/>
    </row>
    <row r="329" spans="1:20" x14ac:dyDescent="0.25">
      <c r="A329" s="289" t="s">
        <v>575</v>
      </c>
      <c r="B329" s="269" t="s">
        <v>612</v>
      </c>
      <c r="C329" s="288" t="s">
        <v>36</v>
      </c>
      <c r="D329" s="288"/>
      <c r="E329" s="288"/>
      <c r="F329" s="280"/>
      <c r="G329" s="280"/>
      <c r="H329" s="280"/>
      <c r="I329" s="280"/>
      <c r="J329" s="280"/>
      <c r="K329" s="280"/>
      <c r="L329" s="280"/>
      <c r="M329" s="280"/>
      <c r="N329" s="280"/>
      <c r="O329" s="280"/>
      <c r="P329" s="280"/>
      <c r="Q329" s="280"/>
      <c r="R329" s="280"/>
      <c r="S329" s="280"/>
      <c r="T329" s="280"/>
    </row>
    <row r="330" spans="1:20" x14ac:dyDescent="0.25">
      <c r="A330" s="289" t="s">
        <v>576</v>
      </c>
      <c r="B330" s="269" t="s">
        <v>614</v>
      </c>
      <c r="C330" s="288" t="s">
        <v>611</v>
      </c>
      <c r="D330" s="288"/>
      <c r="E330" s="288"/>
      <c r="F330" s="280"/>
      <c r="G330" s="280"/>
      <c r="H330" s="280"/>
      <c r="I330" s="280"/>
      <c r="J330" s="280"/>
      <c r="K330" s="280"/>
      <c r="L330" s="280"/>
      <c r="M330" s="280"/>
      <c r="N330" s="280"/>
      <c r="O330" s="280"/>
      <c r="P330" s="280"/>
      <c r="Q330" s="280"/>
      <c r="R330" s="280"/>
      <c r="S330" s="280"/>
      <c r="T330" s="280"/>
    </row>
    <row r="331" spans="1:20" x14ac:dyDescent="0.25">
      <c r="A331" s="289" t="s">
        <v>578</v>
      </c>
      <c r="B331" s="269" t="s">
        <v>613</v>
      </c>
      <c r="C331" s="288" t="s">
        <v>1141</v>
      </c>
      <c r="D331" s="288"/>
      <c r="E331" s="288"/>
      <c r="F331" s="280"/>
      <c r="G331" s="280"/>
      <c r="H331" s="280"/>
      <c r="I331" s="280"/>
      <c r="J331" s="280"/>
      <c r="K331" s="280"/>
      <c r="L331" s="280"/>
      <c r="M331" s="280"/>
      <c r="N331" s="280"/>
      <c r="O331" s="280"/>
      <c r="P331" s="280"/>
      <c r="Q331" s="280"/>
      <c r="R331" s="280"/>
      <c r="S331" s="280"/>
      <c r="T331" s="280"/>
    </row>
    <row r="332" spans="1:20" s="292" customFormat="1" x14ac:dyDescent="0.25">
      <c r="A332" s="289" t="s">
        <v>703</v>
      </c>
      <c r="B332" s="269" t="s">
        <v>577</v>
      </c>
      <c r="C332" s="288" t="s">
        <v>286</v>
      </c>
      <c r="D332" s="288"/>
      <c r="E332" s="281" t="s">
        <v>590</v>
      </c>
      <c r="F332" s="281" t="s">
        <v>590</v>
      </c>
      <c r="G332" s="281" t="s">
        <v>590</v>
      </c>
      <c r="H332" s="281" t="s">
        <v>590</v>
      </c>
      <c r="I332" s="281" t="s">
        <v>590</v>
      </c>
      <c r="J332" s="281" t="s">
        <v>590</v>
      </c>
      <c r="K332" s="281" t="s">
        <v>590</v>
      </c>
      <c r="L332" s="281" t="s">
        <v>590</v>
      </c>
      <c r="M332" s="281" t="s">
        <v>590</v>
      </c>
      <c r="N332" s="281" t="s">
        <v>590</v>
      </c>
      <c r="O332" s="281" t="s">
        <v>590</v>
      </c>
      <c r="P332" s="281" t="s">
        <v>590</v>
      </c>
      <c r="Q332" s="281" t="s">
        <v>590</v>
      </c>
      <c r="R332" s="281" t="s">
        <v>590</v>
      </c>
      <c r="S332" s="281" t="s">
        <v>590</v>
      </c>
      <c r="T332" s="281" t="s">
        <v>590</v>
      </c>
    </row>
    <row r="333" spans="1:20" x14ac:dyDescent="0.25">
      <c r="A333" s="289" t="s">
        <v>704</v>
      </c>
      <c r="B333" s="136" t="s">
        <v>580</v>
      </c>
      <c r="C333" s="288" t="s">
        <v>1141</v>
      </c>
      <c r="D333" s="288"/>
      <c r="E333" s="288"/>
      <c r="F333" s="280"/>
      <c r="G333" s="280"/>
      <c r="H333" s="280"/>
      <c r="I333" s="280"/>
      <c r="J333" s="280"/>
      <c r="K333" s="280"/>
      <c r="L333" s="280"/>
      <c r="M333" s="280"/>
      <c r="N333" s="280"/>
      <c r="O333" s="280"/>
      <c r="P333" s="280"/>
      <c r="Q333" s="280"/>
      <c r="R333" s="280"/>
      <c r="S333" s="280"/>
      <c r="T333" s="280"/>
    </row>
    <row r="334" spans="1:20" x14ac:dyDescent="0.25">
      <c r="A334" s="289" t="s">
        <v>705</v>
      </c>
      <c r="B334" s="136" t="s">
        <v>579</v>
      </c>
      <c r="C334" s="288" t="s">
        <v>1143</v>
      </c>
      <c r="D334" s="288"/>
      <c r="E334" s="288"/>
      <c r="F334" s="280"/>
      <c r="G334" s="280"/>
      <c r="H334" s="280"/>
      <c r="I334" s="280"/>
      <c r="J334" s="280"/>
      <c r="K334" s="280"/>
      <c r="L334" s="280"/>
      <c r="M334" s="280"/>
      <c r="N334" s="280"/>
      <c r="O334" s="280"/>
      <c r="P334" s="280"/>
      <c r="Q334" s="280"/>
      <c r="R334" s="280"/>
      <c r="S334" s="280"/>
      <c r="T334" s="280"/>
    </row>
    <row r="335" spans="1:20" x14ac:dyDescent="0.25">
      <c r="A335" s="289" t="s">
        <v>706</v>
      </c>
      <c r="B335" s="269" t="s">
        <v>907</v>
      </c>
      <c r="C335" s="288" t="s">
        <v>286</v>
      </c>
      <c r="D335" s="288"/>
      <c r="E335" s="281" t="s">
        <v>590</v>
      </c>
      <c r="F335" s="281" t="s">
        <v>590</v>
      </c>
      <c r="G335" s="281" t="s">
        <v>590</v>
      </c>
      <c r="H335" s="281" t="s">
        <v>590</v>
      </c>
      <c r="I335" s="281" t="s">
        <v>590</v>
      </c>
      <c r="J335" s="281" t="s">
        <v>590</v>
      </c>
      <c r="K335" s="281" t="s">
        <v>590</v>
      </c>
      <c r="L335" s="281" t="s">
        <v>590</v>
      </c>
      <c r="M335" s="281" t="s">
        <v>590</v>
      </c>
      <c r="N335" s="281" t="s">
        <v>590</v>
      </c>
      <c r="O335" s="281" t="s">
        <v>590</v>
      </c>
      <c r="P335" s="281" t="s">
        <v>590</v>
      </c>
      <c r="Q335" s="281" t="s">
        <v>590</v>
      </c>
      <c r="R335" s="281" t="s">
        <v>590</v>
      </c>
      <c r="S335" s="281" t="s">
        <v>590</v>
      </c>
      <c r="T335" s="281" t="s">
        <v>590</v>
      </c>
    </row>
    <row r="336" spans="1:20" x14ac:dyDescent="0.25">
      <c r="A336" s="289" t="s">
        <v>707</v>
      </c>
      <c r="B336" s="136" t="s">
        <v>580</v>
      </c>
      <c r="C336" s="288" t="s">
        <v>1141</v>
      </c>
      <c r="D336" s="288"/>
      <c r="E336" s="288"/>
      <c r="F336" s="280"/>
      <c r="G336" s="280"/>
      <c r="H336" s="280"/>
      <c r="I336" s="280"/>
      <c r="J336" s="280"/>
      <c r="K336" s="280"/>
      <c r="L336" s="280"/>
      <c r="M336" s="280"/>
      <c r="N336" s="280"/>
      <c r="O336" s="280"/>
      <c r="P336" s="280"/>
      <c r="Q336" s="280"/>
      <c r="R336" s="280"/>
      <c r="S336" s="280"/>
      <c r="T336" s="280"/>
    </row>
    <row r="337" spans="1:20" x14ac:dyDescent="0.25">
      <c r="A337" s="289" t="s">
        <v>708</v>
      </c>
      <c r="B337" s="136" t="s">
        <v>581</v>
      </c>
      <c r="C337" s="288" t="s">
        <v>36</v>
      </c>
      <c r="D337" s="288"/>
      <c r="E337" s="288"/>
      <c r="F337" s="280"/>
      <c r="G337" s="280"/>
      <c r="H337" s="280"/>
      <c r="I337" s="280"/>
      <c r="J337" s="280"/>
      <c r="K337" s="280"/>
      <c r="L337" s="280"/>
      <c r="M337" s="280"/>
      <c r="N337" s="280"/>
      <c r="O337" s="280"/>
      <c r="P337" s="280"/>
      <c r="Q337" s="280"/>
      <c r="R337" s="280"/>
      <c r="S337" s="280"/>
      <c r="T337" s="280"/>
    </row>
    <row r="338" spans="1:20" x14ac:dyDescent="0.25">
      <c r="A338" s="289" t="s">
        <v>709</v>
      </c>
      <c r="B338" s="136" t="s">
        <v>579</v>
      </c>
      <c r="C338" s="288" t="s">
        <v>1143</v>
      </c>
      <c r="D338" s="288"/>
      <c r="E338" s="288"/>
      <c r="F338" s="280"/>
      <c r="G338" s="280"/>
      <c r="H338" s="280"/>
      <c r="I338" s="280"/>
      <c r="J338" s="280"/>
      <c r="K338" s="280"/>
      <c r="L338" s="280"/>
      <c r="M338" s="280"/>
      <c r="N338" s="280"/>
      <c r="O338" s="280"/>
      <c r="P338" s="280"/>
      <c r="Q338" s="280"/>
      <c r="R338" s="280"/>
      <c r="S338" s="280"/>
      <c r="T338" s="280"/>
    </row>
    <row r="339" spans="1:20" x14ac:dyDescent="0.25">
      <c r="A339" s="289" t="s">
        <v>710</v>
      </c>
      <c r="B339" s="269" t="s">
        <v>34</v>
      </c>
      <c r="C339" s="288" t="s">
        <v>286</v>
      </c>
      <c r="D339" s="288"/>
      <c r="E339" s="281" t="s">
        <v>590</v>
      </c>
      <c r="F339" s="281" t="s">
        <v>590</v>
      </c>
      <c r="G339" s="281" t="s">
        <v>590</v>
      </c>
      <c r="H339" s="281" t="s">
        <v>590</v>
      </c>
      <c r="I339" s="281" t="s">
        <v>590</v>
      </c>
      <c r="J339" s="281" t="s">
        <v>590</v>
      </c>
      <c r="K339" s="281" t="s">
        <v>590</v>
      </c>
      <c r="L339" s="281" t="s">
        <v>590</v>
      </c>
      <c r="M339" s="281" t="s">
        <v>590</v>
      </c>
      <c r="N339" s="281" t="s">
        <v>590</v>
      </c>
      <c r="O339" s="281" t="s">
        <v>590</v>
      </c>
      <c r="P339" s="281" t="s">
        <v>590</v>
      </c>
      <c r="Q339" s="281" t="s">
        <v>590</v>
      </c>
      <c r="R339" s="281" t="s">
        <v>590</v>
      </c>
      <c r="S339" s="281" t="s">
        <v>590</v>
      </c>
      <c r="T339" s="281" t="s">
        <v>590</v>
      </c>
    </row>
    <row r="340" spans="1:20" x14ac:dyDescent="0.25">
      <c r="A340" s="289" t="s">
        <v>711</v>
      </c>
      <c r="B340" s="136" t="s">
        <v>580</v>
      </c>
      <c r="C340" s="288" t="s">
        <v>1141</v>
      </c>
      <c r="D340" s="288"/>
      <c r="E340" s="288"/>
      <c r="F340" s="280"/>
      <c r="G340" s="280"/>
      <c r="H340" s="280"/>
      <c r="I340" s="280"/>
      <c r="J340" s="280"/>
      <c r="K340" s="280"/>
      <c r="L340" s="280"/>
      <c r="M340" s="280"/>
      <c r="N340" s="280"/>
      <c r="O340" s="280"/>
      <c r="P340" s="280"/>
      <c r="Q340" s="280"/>
      <c r="R340" s="280"/>
      <c r="S340" s="280"/>
      <c r="T340" s="280"/>
    </row>
    <row r="341" spans="1:20" x14ac:dyDescent="0.25">
      <c r="A341" s="289" t="s">
        <v>712</v>
      </c>
      <c r="B341" s="136" t="s">
        <v>579</v>
      </c>
      <c r="C341" s="288" t="s">
        <v>1143</v>
      </c>
      <c r="D341" s="288"/>
      <c r="E341" s="288"/>
      <c r="F341" s="280"/>
      <c r="G341" s="280"/>
      <c r="H341" s="280"/>
      <c r="I341" s="280"/>
      <c r="J341" s="280"/>
      <c r="K341" s="280"/>
      <c r="L341" s="280"/>
      <c r="M341" s="280"/>
      <c r="N341" s="280"/>
      <c r="O341" s="280"/>
      <c r="P341" s="280"/>
      <c r="Q341" s="280"/>
      <c r="R341" s="280"/>
      <c r="S341" s="280"/>
      <c r="T341" s="280"/>
    </row>
    <row r="342" spans="1:20" x14ac:dyDescent="0.25">
      <c r="A342" s="289" t="s">
        <v>713</v>
      </c>
      <c r="B342" s="269" t="s">
        <v>35</v>
      </c>
      <c r="C342" s="288" t="s">
        <v>286</v>
      </c>
      <c r="D342" s="288"/>
      <c r="E342" s="281" t="s">
        <v>590</v>
      </c>
      <c r="F342" s="281" t="s">
        <v>590</v>
      </c>
      <c r="G342" s="281" t="s">
        <v>590</v>
      </c>
      <c r="H342" s="281" t="s">
        <v>590</v>
      </c>
      <c r="I342" s="281" t="s">
        <v>590</v>
      </c>
      <c r="J342" s="281" t="s">
        <v>590</v>
      </c>
      <c r="K342" s="281" t="s">
        <v>590</v>
      </c>
      <c r="L342" s="281" t="s">
        <v>590</v>
      </c>
      <c r="M342" s="281" t="s">
        <v>590</v>
      </c>
      <c r="N342" s="281" t="s">
        <v>590</v>
      </c>
      <c r="O342" s="281" t="s">
        <v>590</v>
      </c>
      <c r="P342" s="281" t="s">
        <v>590</v>
      </c>
      <c r="Q342" s="281" t="s">
        <v>590</v>
      </c>
      <c r="R342" s="281" t="s">
        <v>590</v>
      </c>
      <c r="S342" s="281" t="s">
        <v>590</v>
      </c>
      <c r="T342" s="281" t="s">
        <v>590</v>
      </c>
    </row>
    <row r="343" spans="1:20" x14ac:dyDescent="0.25">
      <c r="A343" s="289" t="s">
        <v>714</v>
      </c>
      <c r="B343" s="136" t="s">
        <v>580</v>
      </c>
      <c r="C343" s="288" t="s">
        <v>1141</v>
      </c>
      <c r="D343" s="288"/>
      <c r="E343" s="288"/>
      <c r="F343" s="280"/>
      <c r="G343" s="280"/>
      <c r="H343" s="280"/>
      <c r="I343" s="280"/>
      <c r="J343" s="280"/>
      <c r="K343" s="280"/>
      <c r="L343" s="280"/>
      <c r="M343" s="280"/>
      <c r="N343" s="280"/>
      <c r="O343" s="280"/>
      <c r="P343" s="280"/>
      <c r="Q343" s="280"/>
      <c r="R343" s="280"/>
      <c r="S343" s="280"/>
      <c r="T343" s="280"/>
    </row>
    <row r="344" spans="1:20" x14ac:dyDescent="0.25">
      <c r="A344" s="289" t="s">
        <v>715</v>
      </c>
      <c r="B344" s="136" t="s">
        <v>581</v>
      </c>
      <c r="C344" s="288" t="s">
        <v>36</v>
      </c>
      <c r="D344" s="288"/>
      <c r="E344" s="288"/>
      <c r="F344" s="280"/>
      <c r="G344" s="280"/>
      <c r="H344" s="280"/>
      <c r="I344" s="280"/>
      <c r="J344" s="280"/>
      <c r="K344" s="280"/>
      <c r="L344" s="280"/>
      <c r="M344" s="280"/>
      <c r="N344" s="280"/>
      <c r="O344" s="280"/>
      <c r="P344" s="280"/>
      <c r="Q344" s="280"/>
      <c r="R344" s="280"/>
      <c r="S344" s="280"/>
      <c r="T344" s="280"/>
    </row>
    <row r="345" spans="1:20" x14ac:dyDescent="0.25">
      <c r="A345" s="289" t="s">
        <v>716</v>
      </c>
      <c r="B345" s="136" t="s">
        <v>579</v>
      </c>
      <c r="C345" s="288" t="s">
        <v>1143</v>
      </c>
      <c r="D345" s="288"/>
      <c r="E345" s="288"/>
      <c r="F345" s="280"/>
      <c r="G345" s="280"/>
      <c r="H345" s="280"/>
      <c r="I345" s="280"/>
      <c r="J345" s="280"/>
      <c r="K345" s="280"/>
      <c r="L345" s="280"/>
      <c r="M345" s="280"/>
      <c r="N345" s="280"/>
      <c r="O345" s="280"/>
      <c r="P345" s="280"/>
      <c r="Q345" s="280"/>
      <c r="R345" s="280"/>
      <c r="S345" s="280"/>
      <c r="T345" s="280"/>
    </row>
    <row r="346" spans="1:20" x14ac:dyDescent="0.25">
      <c r="A346" s="298" t="s">
        <v>582</v>
      </c>
      <c r="B346" s="299" t="s">
        <v>615</v>
      </c>
      <c r="C346" s="300" t="s">
        <v>286</v>
      </c>
      <c r="D346" s="302" t="s">
        <v>590</v>
      </c>
      <c r="E346" s="302" t="s">
        <v>590</v>
      </c>
      <c r="F346" s="302" t="s">
        <v>590</v>
      </c>
      <c r="G346" s="302" t="s">
        <v>590</v>
      </c>
      <c r="H346" s="302" t="s">
        <v>590</v>
      </c>
      <c r="I346" s="302" t="s">
        <v>590</v>
      </c>
      <c r="J346" s="302" t="s">
        <v>590</v>
      </c>
      <c r="K346" s="302" t="s">
        <v>590</v>
      </c>
      <c r="L346" s="302" t="s">
        <v>590</v>
      </c>
      <c r="M346" s="302" t="s">
        <v>590</v>
      </c>
      <c r="N346" s="302" t="s">
        <v>590</v>
      </c>
      <c r="O346" s="302" t="s">
        <v>590</v>
      </c>
      <c r="P346" s="302" t="s">
        <v>590</v>
      </c>
      <c r="Q346" s="302"/>
      <c r="R346" s="302"/>
      <c r="S346" s="302" t="s">
        <v>590</v>
      </c>
      <c r="T346" s="302" t="s">
        <v>590</v>
      </c>
    </row>
    <row r="347" spans="1:20" ht="19.149999999999999" customHeight="1" x14ac:dyDescent="0.25">
      <c r="A347" s="289" t="s">
        <v>584</v>
      </c>
      <c r="B347" s="269" t="s">
        <v>1037</v>
      </c>
      <c r="C347" s="348" t="s">
        <v>1141</v>
      </c>
      <c r="D347" s="288">
        <v>1326.92</v>
      </c>
      <c r="E347" s="317">
        <v>1243.6099999999999</v>
      </c>
      <c r="F347" s="346">
        <v>1315.49</v>
      </c>
      <c r="G347" s="346">
        <v>1370.164</v>
      </c>
      <c r="H347" s="330">
        <v>1361.65</v>
      </c>
      <c r="I347" s="342">
        <v>1481.18</v>
      </c>
      <c r="J347" s="314">
        <v>1478.93</v>
      </c>
      <c r="K347" s="329">
        <v>1480.335</v>
      </c>
      <c r="L347" s="356">
        <v>1544.6780000000001</v>
      </c>
      <c r="M347" s="329">
        <v>1347.433</v>
      </c>
      <c r="N347" s="336" t="s">
        <v>286</v>
      </c>
      <c r="O347" s="329">
        <v>1527.41</v>
      </c>
      <c r="P347" s="336" t="s">
        <v>286</v>
      </c>
      <c r="Q347" s="329">
        <v>1527.41</v>
      </c>
      <c r="R347" s="329">
        <v>1527.41</v>
      </c>
      <c r="S347" s="319">
        <f>I347+K347+M347+O347+G347</f>
        <v>7206.5219999999999</v>
      </c>
      <c r="T347" s="288" t="s">
        <v>286</v>
      </c>
    </row>
    <row r="348" spans="1:20" ht="31.5" x14ac:dyDescent="0.25">
      <c r="A348" s="289" t="s">
        <v>717</v>
      </c>
      <c r="B348" s="136" t="s">
        <v>1038</v>
      </c>
      <c r="C348" s="348" t="s">
        <v>1141</v>
      </c>
      <c r="D348" s="288" t="s">
        <v>286</v>
      </c>
      <c r="E348" s="288" t="s">
        <v>286</v>
      </c>
      <c r="F348" s="288" t="s">
        <v>286</v>
      </c>
      <c r="G348" s="288" t="s">
        <v>286</v>
      </c>
      <c r="H348" s="288" t="s">
        <v>286</v>
      </c>
      <c r="I348" s="288" t="s">
        <v>286</v>
      </c>
      <c r="J348" s="288" t="s">
        <v>286</v>
      </c>
      <c r="K348" s="288" t="s">
        <v>286</v>
      </c>
      <c r="L348" s="288" t="s">
        <v>286</v>
      </c>
      <c r="M348" s="288" t="s">
        <v>286</v>
      </c>
      <c r="N348" s="288" t="s">
        <v>286</v>
      </c>
      <c r="O348" s="288" t="s">
        <v>286</v>
      </c>
      <c r="P348" s="288" t="s">
        <v>286</v>
      </c>
      <c r="Q348" s="288" t="s">
        <v>286</v>
      </c>
      <c r="R348" s="288" t="s">
        <v>286</v>
      </c>
      <c r="S348" s="288" t="s">
        <v>286</v>
      </c>
      <c r="T348" s="288" t="s">
        <v>286</v>
      </c>
    </row>
    <row r="349" spans="1:20" x14ac:dyDescent="0.25">
      <c r="A349" s="289" t="s">
        <v>904</v>
      </c>
      <c r="B349" s="277" t="s">
        <v>952</v>
      </c>
      <c r="C349" s="348" t="s">
        <v>1141</v>
      </c>
      <c r="D349" s="288" t="s">
        <v>286</v>
      </c>
      <c r="E349" s="288" t="s">
        <v>286</v>
      </c>
      <c r="F349" s="288" t="s">
        <v>286</v>
      </c>
      <c r="G349" s="288" t="s">
        <v>286</v>
      </c>
      <c r="H349" s="288" t="s">
        <v>286</v>
      </c>
      <c r="I349" s="288" t="s">
        <v>286</v>
      </c>
      <c r="J349" s="288" t="s">
        <v>286</v>
      </c>
      <c r="K349" s="288" t="s">
        <v>286</v>
      </c>
      <c r="L349" s="288" t="s">
        <v>286</v>
      </c>
      <c r="M349" s="288" t="s">
        <v>286</v>
      </c>
      <c r="N349" s="288" t="s">
        <v>286</v>
      </c>
      <c r="O349" s="288" t="s">
        <v>286</v>
      </c>
      <c r="P349" s="288" t="s">
        <v>286</v>
      </c>
      <c r="Q349" s="288" t="s">
        <v>286</v>
      </c>
      <c r="R349" s="288" t="s">
        <v>286</v>
      </c>
      <c r="S349" s="288" t="s">
        <v>286</v>
      </c>
      <c r="T349" s="288" t="s">
        <v>286</v>
      </c>
    </row>
    <row r="350" spans="1:20" x14ac:dyDescent="0.25">
      <c r="A350" s="289" t="s">
        <v>903</v>
      </c>
      <c r="B350" s="277" t="s">
        <v>953</v>
      </c>
      <c r="C350" s="348" t="s">
        <v>1141</v>
      </c>
      <c r="D350" s="288" t="s">
        <v>286</v>
      </c>
      <c r="E350" s="288" t="s">
        <v>286</v>
      </c>
      <c r="F350" s="288" t="s">
        <v>286</v>
      </c>
      <c r="G350" s="288" t="s">
        <v>286</v>
      </c>
      <c r="H350" s="288" t="s">
        <v>286</v>
      </c>
      <c r="I350" s="288" t="s">
        <v>286</v>
      </c>
      <c r="J350" s="288" t="s">
        <v>286</v>
      </c>
      <c r="K350" s="288" t="s">
        <v>286</v>
      </c>
      <c r="L350" s="288" t="s">
        <v>286</v>
      </c>
      <c r="M350" s="288" t="s">
        <v>286</v>
      </c>
      <c r="N350" s="288" t="s">
        <v>286</v>
      </c>
      <c r="O350" s="288" t="s">
        <v>286</v>
      </c>
      <c r="P350" s="288" t="s">
        <v>286</v>
      </c>
      <c r="Q350" s="288" t="s">
        <v>286</v>
      </c>
      <c r="R350" s="288" t="s">
        <v>286</v>
      </c>
      <c r="S350" s="288" t="s">
        <v>286</v>
      </c>
      <c r="T350" s="288" t="s">
        <v>286</v>
      </c>
    </row>
    <row r="351" spans="1:20" x14ac:dyDescent="0.25">
      <c r="A351" s="289" t="s">
        <v>871</v>
      </c>
      <c r="B351" s="269" t="s">
        <v>998</v>
      </c>
      <c r="C351" s="348" t="s">
        <v>1141</v>
      </c>
      <c r="D351" s="288">
        <v>213.29</v>
      </c>
      <c r="E351" s="317">
        <v>208.92</v>
      </c>
      <c r="F351" s="346">
        <v>215.57</v>
      </c>
      <c r="G351" s="317">
        <v>229.56</v>
      </c>
      <c r="H351" s="317">
        <v>215.08</v>
      </c>
      <c r="I351" s="314">
        <v>248.12</v>
      </c>
      <c r="J351" s="307">
        <v>220.53970000000001</v>
      </c>
      <c r="K351" s="307">
        <v>248.00040000000001</v>
      </c>
      <c r="L351" s="288">
        <v>228.29</v>
      </c>
      <c r="M351" s="307">
        <v>248.00040000000001</v>
      </c>
      <c r="N351" s="288" t="s">
        <v>286</v>
      </c>
      <c r="O351" s="307">
        <v>248.00040000000001</v>
      </c>
      <c r="P351" s="288" t="s">
        <v>286</v>
      </c>
      <c r="Q351" s="307">
        <v>248.00040000000001</v>
      </c>
      <c r="R351" s="307">
        <v>248.00040000000001</v>
      </c>
      <c r="S351" s="326">
        <f t="shared" ref="S351:S352" si="108">I351+K351+M351+O351+G351</f>
        <v>1221.6812</v>
      </c>
      <c r="T351" s="288" t="s">
        <v>286</v>
      </c>
    </row>
    <row r="352" spans="1:20" x14ac:dyDescent="0.25">
      <c r="A352" s="289" t="s">
        <v>872</v>
      </c>
      <c r="B352" s="269" t="s">
        <v>1151</v>
      </c>
      <c r="C352" s="348" t="s">
        <v>36</v>
      </c>
      <c r="D352" s="288">
        <v>223.72</v>
      </c>
      <c r="E352" s="317">
        <v>223.72</v>
      </c>
      <c r="F352" s="346">
        <v>223.72</v>
      </c>
      <c r="G352" s="346">
        <v>223.72</v>
      </c>
      <c r="H352" s="317">
        <v>223.72</v>
      </c>
      <c r="I352" s="326">
        <v>240.5</v>
      </c>
      <c r="J352" s="330">
        <v>240.5</v>
      </c>
      <c r="K352" s="307">
        <v>240.5</v>
      </c>
      <c r="L352" s="288">
        <v>240.5</v>
      </c>
      <c r="M352" s="307">
        <v>209.97800000000001</v>
      </c>
      <c r="N352" s="288" t="s">
        <v>286</v>
      </c>
      <c r="O352" s="307">
        <v>240.5</v>
      </c>
      <c r="P352" s="288" t="s">
        <v>286</v>
      </c>
      <c r="Q352" s="307">
        <v>240.5</v>
      </c>
      <c r="R352" s="307">
        <v>240.5</v>
      </c>
      <c r="S352" s="326">
        <f t="shared" si="108"/>
        <v>1155.1980000000001</v>
      </c>
      <c r="T352" s="288" t="s">
        <v>286</v>
      </c>
    </row>
    <row r="353" spans="1:20" ht="31.5" x14ac:dyDescent="0.25">
      <c r="A353" s="289" t="s">
        <v>873</v>
      </c>
      <c r="B353" s="136" t="s">
        <v>1039</v>
      </c>
      <c r="C353" s="348" t="s">
        <v>36</v>
      </c>
      <c r="D353" s="288" t="s">
        <v>286</v>
      </c>
      <c r="E353" s="288" t="s">
        <v>286</v>
      </c>
      <c r="F353" s="288" t="s">
        <v>286</v>
      </c>
      <c r="G353" s="288" t="s">
        <v>286</v>
      </c>
      <c r="H353" s="288" t="s">
        <v>286</v>
      </c>
      <c r="I353" s="288" t="s">
        <v>286</v>
      </c>
      <c r="J353" s="288" t="s">
        <v>286</v>
      </c>
      <c r="K353" s="288" t="s">
        <v>286</v>
      </c>
      <c r="L353" s="288" t="s">
        <v>286</v>
      </c>
      <c r="M353" s="288" t="s">
        <v>286</v>
      </c>
      <c r="N353" s="288" t="s">
        <v>286</v>
      </c>
      <c r="O353" s="288" t="s">
        <v>286</v>
      </c>
      <c r="P353" s="288" t="s">
        <v>286</v>
      </c>
      <c r="Q353" s="288" t="s">
        <v>286</v>
      </c>
      <c r="R353" s="288" t="s">
        <v>286</v>
      </c>
      <c r="S353" s="288" t="s">
        <v>286</v>
      </c>
      <c r="T353" s="288" t="s">
        <v>286</v>
      </c>
    </row>
    <row r="354" spans="1:20" x14ac:dyDescent="0.25">
      <c r="A354" s="289" t="s">
        <v>905</v>
      </c>
      <c r="B354" s="277" t="s">
        <v>952</v>
      </c>
      <c r="C354" s="348" t="s">
        <v>36</v>
      </c>
      <c r="D354" s="288" t="s">
        <v>286</v>
      </c>
      <c r="E354" s="288" t="s">
        <v>286</v>
      </c>
      <c r="F354" s="288" t="s">
        <v>286</v>
      </c>
      <c r="G354" s="288" t="s">
        <v>286</v>
      </c>
      <c r="H354" s="288" t="s">
        <v>286</v>
      </c>
      <c r="I354" s="288" t="s">
        <v>286</v>
      </c>
      <c r="J354" s="288" t="s">
        <v>286</v>
      </c>
      <c r="K354" s="288" t="s">
        <v>286</v>
      </c>
      <c r="L354" s="288" t="s">
        <v>286</v>
      </c>
      <c r="M354" s="288" t="s">
        <v>286</v>
      </c>
      <c r="N354" s="288" t="s">
        <v>286</v>
      </c>
      <c r="O354" s="288" t="s">
        <v>286</v>
      </c>
      <c r="P354" s="288" t="s">
        <v>286</v>
      </c>
      <c r="Q354" s="288" t="s">
        <v>286</v>
      </c>
      <c r="R354" s="288" t="s">
        <v>286</v>
      </c>
      <c r="S354" s="288" t="s">
        <v>286</v>
      </c>
      <c r="T354" s="288" t="s">
        <v>286</v>
      </c>
    </row>
    <row r="355" spans="1:20" x14ac:dyDescent="0.25">
      <c r="A355" s="289" t="s">
        <v>906</v>
      </c>
      <c r="B355" s="277" t="s">
        <v>953</v>
      </c>
      <c r="C355" s="348" t="s">
        <v>36</v>
      </c>
      <c r="D355" s="288" t="s">
        <v>286</v>
      </c>
      <c r="E355" s="288" t="s">
        <v>286</v>
      </c>
      <c r="F355" s="288" t="s">
        <v>286</v>
      </c>
      <c r="G355" s="288" t="s">
        <v>286</v>
      </c>
      <c r="H355" s="288" t="s">
        <v>286</v>
      </c>
      <c r="I355" s="288" t="s">
        <v>286</v>
      </c>
      <c r="J355" s="288" t="s">
        <v>286</v>
      </c>
      <c r="K355" s="288" t="s">
        <v>286</v>
      </c>
      <c r="L355" s="288" t="s">
        <v>286</v>
      </c>
      <c r="M355" s="288" t="s">
        <v>286</v>
      </c>
      <c r="N355" s="288" t="s">
        <v>286</v>
      </c>
      <c r="O355" s="288" t="s">
        <v>286</v>
      </c>
      <c r="P355" s="288" t="s">
        <v>286</v>
      </c>
      <c r="Q355" s="288" t="s">
        <v>286</v>
      </c>
      <c r="R355" s="288" t="s">
        <v>286</v>
      </c>
      <c r="S355" s="288" t="s">
        <v>286</v>
      </c>
      <c r="T355" s="288" t="s">
        <v>286</v>
      </c>
    </row>
    <row r="356" spans="1:20" x14ac:dyDescent="0.25">
      <c r="A356" s="289" t="s">
        <v>874</v>
      </c>
      <c r="B356" s="269" t="s">
        <v>955</v>
      </c>
      <c r="C356" s="348" t="s">
        <v>954</v>
      </c>
      <c r="D356" s="350">
        <v>57123.74</v>
      </c>
      <c r="E356" s="347">
        <v>57125.31</v>
      </c>
      <c r="F356" s="347">
        <v>57125.31</v>
      </c>
      <c r="G356" s="326">
        <v>57125.31</v>
      </c>
      <c r="H356" s="326">
        <v>57406.294000000002</v>
      </c>
      <c r="I356" s="326">
        <v>57420.41</v>
      </c>
      <c r="J356" s="330">
        <v>57742.080000000002</v>
      </c>
      <c r="K356" s="314">
        <v>57406.3</v>
      </c>
      <c r="L356" s="288">
        <v>58308.19</v>
      </c>
      <c r="M356" s="330">
        <v>57958.53</v>
      </c>
      <c r="N356" s="288" t="s">
        <v>286</v>
      </c>
      <c r="O356" s="330">
        <v>58392.07</v>
      </c>
      <c r="P356" s="288" t="s">
        <v>286</v>
      </c>
      <c r="Q356" s="330">
        <v>58392.07</v>
      </c>
      <c r="R356" s="330">
        <v>58392.07</v>
      </c>
      <c r="S356" s="330">
        <f>R356</f>
        <v>58392.07</v>
      </c>
      <c r="T356" s="288" t="s">
        <v>286</v>
      </c>
    </row>
    <row r="357" spans="1:20" ht="31.5" x14ac:dyDescent="0.25">
      <c r="A357" s="289" t="s">
        <v>875</v>
      </c>
      <c r="B357" s="269" t="s">
        <v>1150</v>
      </c>
      <c r="C357" s="348" t="s">
        <v>748</v>
      </c>
      <c r="D357" s="320">
        <v>1221.0900000000001</v>
      </c>
      <c r="E357" s="320">
        <v>1254.6000000000001</v>
      </c>
      <c r="F357" s="320">
        <v>1305.87565</v>
      </c>
      <c r="G357" s="326">
        <f>G24-G58-G59-G52</f>
        <v>1126.62635</v>
      </c>
      <c r="H357" s="326">
        <f>H24-H58-H59-H52</f>
        <v>1345.8367000000001</v>
      </c>
      <c r="I357" s="326">
        <f t="shared" ref="I357:K357" si="109">I24-I58-I59-I52</f>
        <v>1171.4756</v>
      </c>
      <c r="J357" s="326">
        <f t="shared" si="109"/>
        <v>1496.1788200000001</v>
      </c>
      <c r="K357" s="326">
        <f t="shared" si="109"/>
        <v>1246.8009999999999</v>
      </c>
      <c r="L357" s="305">
        <v>1620.4869999999999</v>
      </c>
      <c r="M357" s="326">
        <v>1336.095</v>
      </c>
      <c r="N357" s="288" t="s">
        <v>286</v>
      </c>
      <c r="O357" s="326">
        <f>O24-O58-O59-O52</f>
        <v>1474.5360000000001</v>
      </c>
      <c r="P357" s="288" t="s">
        <v>286</v>
      </c>
      <c r="Q357" s="326">
        <f>Q24-Q58-Q59-Q52</f>
        <v>1534.9919759999998</v>
      </c>
      <c r="R357" s="326">
        <f>R24-R58-R59-R52</f>
        <v>1597.9266470159998</v>
      </c>
      <c r="S357" s="326">
        <f>I357+K357+M357+O357+G357</f>
        <v>6355.5339500000009</v>
      </c>
      <c r="T357" s="288" t="s">
        <v>286</v>
      </c>
    </row>
    <row r="358" spans="1:20" x14ac:dyDescent="0.25">
      <c r="A358" s="298" t="s">
        <v>585</v>
      </c>
      <c r="B358" s="299" t="s">
        <v>583</v>
      </c>
      <c r="C358" s="300" t="s">
        <v>286</v>
      </c>
      <c r="D358" s="349"/>
      <c r="E358" s="338" t="s">
        <v>590</v>
      </c>
      <c r="F358" s="338" t="s">
        <v>590</v>
      </c>
      <c r="G358" s="338" t="s">
        <v>590</v>
      </c>
      <c r="H358" s="338" t="s">
        <v>590</v>
      </c>
      <c r="I358" s="302" t="s">
        <v>590</v>
      </c>
      <c r="J358" s="302" t="s">
        <v>590</v>
      </c>
      <c r="K358" s="302" t="s">
        <v>590</v>
      </c>
      <c r="L358" s="302" t="s">
        <v>590</v>
      </c>
      <c r="M358" s="302" t="s">
        <v>590</v>
      </c>
      <c r="N358" s="302" t="s">
        <v>590</v>
      </c>
      <c r="O358" s="302" t="s">
        <v>590</v>
      </c>
      <c r="P358" s="302" t="s">
        <v>590</v>
      </c>
      <c r="Q358" s="302" t="s">
        <v>590</v>
      </c>
      <c r="R358" s="302" t="s">
        <v>590</v>
      </c>
      <c r="S358" s="302" t="s">
        <v>590</v>
      </c>
      <c r="T358" s="302" t="s">
        <v>590</v>
      </c>
    </row>
    <row r="359" spans="1:20" x14ac:dyDescent="0.25">
      <c r="A359" s="289" t="s">
        <v>587</v>
      </c>
      <c r="B359" s="269" t="s">
        <v>628</v>
      </c>
      <c r="C359" s="288" t="s">
        <v>1141</v>
      </c>
      <c r="D359" s="288" t="s">
        <v>286</v>
      </c>
      <c r="E359" s="288" t="s">
        <v>286</v>
      </c>
      <c r="F359" s="288" t="s">
        <v>286</v>
      </c>
      <c r="G359" s="288" t="s">
        <v>286</v>
      </c>
      <c r="H359" s="288" t="s">
        <v>286</v>
      </c>
      <c r="I359" s="288" t="s">
        <v>286</v>
      </c>
      <c r="J359" s="288" t="s">
        <v>286</v>
      </c>
      <c r="K359" s="288" t="s">
        <v>286</v>
      </c>
      <c r="L359" s="288" t="s">
        <v>286</v>
      </c>
      <c r="M359" s="288" t="s">
        <v>286</v>
      </c>
      <c r="N359" s="288" t="s">
        <v>286</v>
      </c>
      <c r="O359" s="288" t="s">
        <v>286</v>
      </c>
      <c r="P359" s="288" t="s">
        <v>286</v>
      </c>
      <c r="Q359" s="288"/>
      <c r="R359" s="288"/>
      <c r="S359" s="288" t="s">
        <v>286</v>
      </c>
      <c r="T359" s="288" t="s">
        <v>286</v>
      </c>
    </row>
    <row r="360" spans="1:20" x14ac:dyDescent="0.25">
      <c r="A360" s="289" t="s">
        <v>588</v>
      </c>
      <c r="B360" s="269" t="s">
        <v>629</v>
      </c>
      <c r="C360" s="288" t="s">
        <v>611</v>
      </c>
      <c r="D360" s="288" t="s">
        <v>286</v>
      </c>
      <c r="E360" s="288" t="s">
        <v>286</v>
      </c>
      <c r="F360" s="288" t="s">
        <v>286</v>
      </c>
      <c r="G360" s="288" t="s">
        <v>286</v>
      </c>
      <c r="H360" s="288" t="s">
        <v>286</v>
      </c>
      <c r="I360" s="288" t="s">
        <v>286</v>
      </c>
      <c r="J360" s="288" t="s">
        <v>286</v>
      </c>
      <c r="K360" s="288" t="s">
        <v>286</v>
      </c>
      <c r="L360" s="288" t="s">
        <v>286</v>
      </c>
      <c r="M360" s="288" t="s">
        <v>286</v>
      </c>
      <c r="N360" s="288" t="s">
        <v>286</v>
      </c>
      <c r="O360" s="288" t="s">
        <v>286</v>
      </c>
      <c r="P360" s="288" t="s">
        <v>286</v>
      </c>
      <c r="Q360" s="288"/>
      <c r="R360" s="288"/>
      <c r="S360" s="288" t="s">
        <v>286</v>
      </c>
      <c r="T360" s="288" t="s">
        <v>286</v>
      </c>
    </row>
    <row r="361" spans="1:20" ht="47.25" x14ac:dyDescent="0.25">
      <c r="A361" s="289" t="s">
        <v>635</v>
      </c>
      <c r="B361" s="269" t="s">
        <v>956</v>
      </c>
      <c r="C361" s="288" t="s">
        <v>748</v>
      </c>
      <c r="D361" s="288" t="s">
        <v>286</v>
      </c>
      <c r="E361" s="288" t="s">
        <v>286</v>
      </c>
      <c r="F361" s="288" t="s">
        <v>286</v>
      </c>
      <c r="G361" s="288" t="s">
        <v>286</v>
      </c>
      <c r="H361" s="288" t="s">
        <v>286</v>
      </c>
      <c r="I361" s="288" t="s">
        <v>286</v>
      </c>
      <c r="J361" s="288" t="s">
        <v>286</v>
      </c>
      <c r="K361" s="288" t="s">
        <v>286</v>
      </c>
      <c r="L361" s="288" t="s">
        <v>286</v>
      </c>
      <c r="M361" s="288" t="s">
        <v>286</v>
      </c>
      <c r="N361" s="288" t="s">
        <v>286</v>
      </c>
      <c r="O361" s="288" t="s">
        <v>286</v>
      </c>
      <c r="P361" s="288" t="s">
        <v>286</v>
      </c>
      <c r="Q361" s="288"/>
      <c r="R361" s="288"/>
      <c r="S361" s="288" t="s">
        <v>286</v>
      </c>
      <c r="T361" s="288" t="s">
        <v>286</v>
      </c>
    </row>
    <row r="362" spans="1:20" ht="31.5" x14ac:dyDescent="0.25">
      <c r="A362" s="289" t="s">
        <v>718</v>
      </c>
      <c r="B362" s="269" t="s">
        <v>999</v>
      </c>
      <c r="C362" s="288" t="s">
        <v>748</v>
      </c>
      <c r="D362" s="288" t="s">
        <v>286</v>
      </c>
      <c r="E362" s="288" t="s">
        <v>286</v>
      </c>
      <c r="F362" s="288" t="s">
        <v>286</v>
      </c>
      <c r="G362" s="288" t="s">
        <v>286</v>
      </c>
      <c r="H362" s="288" t="s">
        <v>286</v>
      </c>
      <c r="I362" s="288" t="s">
        <v>286</v>
      </c>
      <c r="J362" s="288" t="s">
        <v>286</v>
      </c>
      <c r="K362" s="288" t="s">
        <v>286</v>
      </c>
      <c r="L362" s="288" t="s">
        <v>286</v>
      </c>
      <c r="M362" s="288" t="s">
        <v>286</v>
      </c>
      <c r="N362" s="288" t="s">
        <v>286</v>
      </c>
      <c r="O362" s="288" t="s">
        <v>286</v>
      </c>
      <c r="P362" s="288" t="s">
        <v>286</v>
      </c>
      <c r="Q362" s="288"/>
      <c r="R362" s="288"/>
      <c r="S362" s="288" t="s">
        <v>286</v>
      </c>
      <c r="T362" s="288" t="s">
        <v>286</v>
      </c>
    </row>
    <row r="363" spans="1:20" x14ac:dyDescent="0.25">
      <c r="A363" s="298" t="s">
        <v>589</v>
      </c>
      <c r="B363" s="299" t="s">
        <v>586</v>
      </c>
      <c r="C363" s="302" t="s">
        <v>286</v>
      </c>
      <c r="D363" s="302"/>
      <c r="E363" s="302" t="s">
        <v>590</v>
      </c>
      <c r="F363" s="302" t="s">
        <v>590</v>
      </c>
      <c r="G363" s="302" t="s">
        <v>590</v>
      </c>
      <c r="H363" s="302" t="s">
        <v>590</v>
      </c>
      <c r="I363" s="302" t="s">
        <v>590</v>
      </c>
      <c r="J363" s="302" t="s">
        <v>590</v>
      </c>
      <c r="K363" s="302" t="s">
        <v>590</v>
      </c>
      <c r="L363" s="302" t="s">
        <v>590</v>
      </c>
      <c r="M363" s="302"/>
      <c r="N363" s="302"/>
      <c r="O363" s="302" t="s">
        <v>590</v>
      </c>
      <c r="P363" s="302" t="s">
        <v>590</v>
      </c>
      <c r="Q363" s="302"/>
      <c r="R363" s="302"/>
      <c r="S363" s="302" t="s">
        <v>590</v>
      </c>
      <c r="T363" s="302" t="s">
        <v>590</v>
      </c>
    </row>
    <row r="364" spans="1:20" ht="18" customHeight="1" x14ac:dyDescent="0.25">
      <c r="A364" s="289" t="s">
        <v>719</v>
      </c>
      <c r="B364" s="269" t="s">
        <v>737</v>
      </c>
      <c r="C364" s="288" t="s">
        <v>36</v>
      </c>
      <c r="D364" s="288" t="s">
        <v>286</v>
      </c>
      <c r="E364" s="288" t="s">
        <v>286</v>
      </c>
      <c r="F364" s="288" t="s">
        <v>286</v>
      </c>
      <c r="G364" s="288" t="s">
        <v>286</v>
      </c>
      <c r="H364" s="288" t="s">
        <v>286</v>
      </c>
      <c r="I364" s="288" t="s">
        <v>286</v>
      </c>
      <c r="J364" s="288" t="s">
        <v>286</v>
      </c>
      <c r="K364" s="288" t="s">
        <v>286</v>
      </c>
      <c r="L364" s="288" t="s">
        <v>286</v>
      </c>
      <c r="M364" s="288" t="s">
        <v>286</v>
      </c>
      <c r="N364" s="288" t="s">
        <v>286</v>
      </c>
      <c r="O364" s="288" t="s">
        <v>286</v>
      </c>
      <c r="P364" s="288" t="s">
        <v>286</v>
      </c>
      <c r="Q364" s="288"/>
      <c r="R364" s="288"/>
      <c r="S364" s="288" t="s">
        <v>286</v>
      </c>
      <c r="T364" s="288" t="s">
        <v>286</v>
      </c>
    </row>
    <row r="365" spans="1:20" ht="47.25" x14ac:dyDescent="0.25">
      <c r="A365" s="289" t="s">
        <v>720</v>
      </c>
      <c r="B365" s="136" t="s">
        <v>876</v>
      </c>
      <c r="C365" s="288" t="s">
        <v>36</v>
      </c>
      <c r="D365" s="288" t="s">
        <v>286</v>
      </c>
      <c r="E365" s="288" t="s">
        <v>286</v>
      </c>
      <c r="F365" s="288" t="s">
        <v>286</v>
      </c>
      <c r="G365" s="288" t="s">
        <v>286</v>
      </c>
      <c r="H365" s="288" t="s">
        <v>286</v>
      </c>
      <c r="I365" s="288" t="s">
        <v>286</v>
      </c>
      <c r="J365" s="288" t="s">
        <v>286</v>
      </c>
      <c r="K365" s="288" t="s">
        <v>286</v>
      </c>
      <c r="L365" s="288" t="s">
        <v>286</v>
      </c>
      <c r="M365" s="288" t="s">
        <v>286</v>
      </c>
      <c r="N365" s="288" t="s">
        <v>286</v>
      </c>
      <c r="O365" s="288" t="s">
        <v>286</v>
      </c>
      <c r="P365" s="288" t="s">
        <v>286</v>
      </c>
      <c r="Q365" s="288"/>
      <c r="R365" s="288"/>
      <c r="S365" s="288" t="s">
        <v>286</v>
      </c>
      <c r="T365" s="288" t="s">
        <v>286</v>
      </c>
    </row>
    <row r="366" spans="1:20" ht="47.25" x14ac:dyDescent="0.25">
      <c r="A366" s="289" t="s">
        <v>721</v>
      </c>
      <c r="B366" s="136" t="s">
        <v>877</v>
      </c>
      <c r="C366" s="288" t="s">
        <v>36</v>
      </c>
      <c r="D366" s="288" t="s">
        <v>286</v>
      </c>
      <c r="E366" s="288" t="s">
        <v>286</v>
      </c>
      <c r="F366" s="288" t="s">
        <v>286</v>
      </c>
      <c r="G366" s="288" t="s">
        <v>286</v>
      </c>
      <c r="H366" s="288" t="s">
        <v>286</v>
      </c>
      <c r="I366" s="288" t="s">
        <v>286</v>
      </c>
      <c r="J366" s="288" t="s">
        <v>286</v>
      </c>
      <c r="K366" s="288" t="s">
        <v>286</v>
      </c>
      <c r="L366" s="288" t="s">
        <v>286</v>
      </c>
      <c r="M366" s="288" t="s">
        <v>286</v>
      </c>
      <c r="N366" s="288" t="s">
        <v>286</v>
      </c>
      <c r="O366" s="288" t="s">
        <v>286</v>
      </c>
      <c r="P366" s="288" t="s">
        <v>286</v>
      </c>
      <c r="Q366" s="288"/>
      <c r="R366" s="288"/>
      <c r="S366" s="288" t="s">
        <v>286</v>
      </c>
      <c r="T366" s="288" t="s">
        <v>286</v>
      </c>
    </row>
    <row r="367" spans="1:20" ht="31.5" x14ac:dyDescent="0.25">
      <c r="A367" s="289" t="s">
        <v>722</v>
      </c>
      <c r="B367" s="136" t="s">
        <v>632</v>
      </c>
      <c r="C367" s="288" t="s">
        <v>36</v>
      </c>
      <c r="D367" s="288" t="s">
        <v>286</v>
      </c>
      <c r="E367" s="288" t="s">
        <v>286</v>
      </c>
      <c r="F367" s="288" t="s">
        <v>286</v>
      </c>
      <c r="G367" s="288" t="s">
        <v>286</v>
      </c>
      <c r="H367" s="288" t="s">
        <v>286</v>
      </c>
      <c r="I367" s="288" t="s">
        <v>286</v>
      </c>
      <c r="J367" s="288" t="s">
        <v>286</v>
      </c>
      <c r="K367" s="288" t="s">
        <v>286</v>
      </c>
      <c r="L367" s="288" t="s">
        <v>286</v>
      </c>
      <c r="M367" s="288" t="s">
        <v>286</v>
      </c>
      <c r="N367" s="288" t="s">
        <v>286</v>
      </c>
      <c r="O367" s="288" t="s">
        <v>286</v>
      </c>
      <c r="P367" s="288" t="s">
        <v>286</v>
      </c>
      <c r="Q367" s="288"/>
      <c r="R367" s="288"/>
      <c r="S367" s="288" t="s">
        <v>286</v>
      </c>
      <c r="T367" s="288" t="s">
        <v>286</v>
      </c>
    </row>
    <row r="368" spans="1:20" x14ac:dyDescent="0.25">
      <c r="A368" s="289" t="s">
        <v>723</v>
      </c>
      <c r="B368" s="269" t="s">
        <v>736</v>
      </c>
      <c r="C368" s="288" t="s">
        <v>1141</v>
      </c>
      <c r="D368" s="288" t="s">
        <v>286</v>
      </c>
      <c r="E368" s="288" t="s">
        <v>286</v>
      </c>
      <c r="F368" s="288" t="s">
        <v>286</v>
      </c>
      <c r="G368" s="288" t="s">
        <v>286</v>
      </c>
      <c r="H368" s="288" t="s">
        <v>286</v>
      </c>
      <c r="I368" s="288" t="s">
        <v>286</v>
      </c>
      <c r="J368" s="288" t="s">
        <v>286</v>
      </c>
      <c r="K368" s="288" t="s">
        <v>286</v>
      </c>
      <c r="L368" s="288" t="s">
        <v>286</v>
      </c>
      <c r="M368" s="288" t="s">
        <v>286</v>
      </c>
      <c r="N368" s="288" t="s">
        <v>286</v>
      </c>
      <c r="O368" s="288" t="s">
        <v>286</v>
      </c>
      <c r="P368" s="288" t="s">
        <v>286</v>
      </c>
      <c r="Q368" s="288"/>
      <c r="R368" s="288"/>
      <c r="S368" s="288" t="s">
        <v>286</v>
      </c>
      <c r="T368" s="288" t="s">
        <v>286</v>
      </c>
    </row>
    <row r="369" spans="1:20" ht="31.5" x14ac:dyDescent="0.25">
      <c r="A369" s="289" t="s">
        <v>724</v>
      </c>
      <c r="B369" s="136" t="s">
        <v>633</v>
      </c>
      <c r="C369" s="288" t="s">
        <v>1141</v>
      </c>
      <c r="D369" s="288" t="s">
        <v>286</v>
      </c>
      <c r="E369" s="288" t="s">
        <v>286</v>
      </c>
      <c r="F369" s="288" t="s">
        <v>286</v>
      </c>
      <c r="G369" s="288" t="s">
        <v>286</v>
      </c>
      <c r="H369" s="288" t="s">
        <v>286</v>
      </c>
      <c r="I369" s="288" t="s">
        <v>286</v>
      </c>
      <c r="J369" s="288" t="s">
        <v>286</v>
      </c>
      <c r="K369" s="288" t="s">
        <v>286</v>
      </c>
      <c r="L369" s="288" t="s">
        <v>286</v>
      </c>
      <c r="M369" s="288" t="s">
        <v>286</v>
      </c>
      <c r="N369" s="288" t="s">
        <v>286</v>
      </c>
      <c r="O369" s="288" t="s">
        <v>286</v>
      </c>
      <c r="P369" s="288" t="s">
        <v>286</v>
      </c>
      <c r="Q369" s="288"/>
      <c r="R369" s="288"/>
      <c r="S369" s="288" t="s">
        <v>286</v>
      </c>
      <c r="T369" s="288" t="s">
        <v>286</v>
      </c>
    </row>
    <row r="370" spans="1:20" x14ac:dyDescent="0.25">
      <c r="A370" s="289" t="s">
        <v>725</v>
      </c>
      <c r="B370" s="136" t="s">
        <v>634</v>
      </c>
      <c r="C370" s="288" t="s">
        <v>1141</v>
      </c>
      <c r="D370" s="288" t="s">
        <v>286</v>
      </c>
      <c r="E370" s="288" t="s">
        <v>286</v>
      </c>
      <c r="F370" s="288" t="s">
        <v>286</v>
      </c>
      <c r="G370" s="288" t="s">
        <v>286</v>
      </c>
      <c r="H370" s="288" t="s">
        <v>286</v>
      </c>
      <c r="I370" s="288" t="s">
        <v>286</v>
      </c>
      <c r="J370" s="288" t="s">
        <v>286</v>
      </c>
      <c r="K370" s="288" t="s">
        <v>286</v>
      </c>
      <c r="L370" s="288" t="s">
        <v>286</v>
      </c>
      <c r="M370" s="288" t="s">
        <v>286</v>
      </c>
      <c r="N370" s="288" t="s">
        <v>286</v>
      </c>
      <c r="O370" s="288" t="s">
        <v>286</v>
      </c>
      <c r="P370" s="288" t="s">
        <v>286</v>
      </c>
      <c r="Q370" s="288"/>
      <c r="R370" s="288"/>
      <c r="S370" s="288" t="s">
        <v>286</v>
      </c>
      <c r="T370" s="288" t="s">
        <v>286</v>
      </c>
    </row>
    <row r="371" spans="1:20" ht="31.5" x14ac:dyDescent="0.25">
      <c r="A371" s="289" t="s">
        <v>726</v>
      </c>
      <c r="B371" s="269" t="s">
        <v>735</v>
      </c>
      <c r="C371" s="288" t="s">
        <v>748</v>
      </c>
      <c r="D371" s="288" t="s">
        <v>286</v>
      </c>
      <c r="E371" s="288" t="s">
        <v>286</v>
      </c>
      <c r="F371" s="288" t="s">
        <v>286</v>
      </c>
      <c r="G371" s="288" t="s">
        <v>286</v>
      </c>
      <c r="H371" s="288" t="s">
        <v>286</v>
      </c>
      <c r="I371" s="288" t="s">
        <v>286</v>
      </c>
      <c r="J371" s="288" t="s">
        <v>286</v>
      </c>
      <c r="K371" s="288" t="s">
        <v>286</v>
      </c>
      <c r="L371" s="288" t="s">
        <v>286</v>
      </c>
      <c r="M371" s="288" t="s">
        <v>286</v>
      </c>
      <c r="N371" s="288" t="s">
        <v>286</v>
      </c>
      <c r="O371" s="288" t="s">
        <v>286</v>
      </c>
      <c r="P371" s="288" t="s">
        <v>286</v>
      </c>
      <c r="Q371" s="288"/>
      <c r="R371" s="288"/>
      <c r="S371" s="288" t="s">
        <v>286</v>
      </c>
      <c r="T371" s="288" t="s">
        <v>286</v>
      </c>
    </row>
    <row r="372" spans="1:20" x14ac:dyDescent="0.25">
      <c r="A372" s="289" t="s">
        <v>727</v>
      </c>
      <c r="B372" s="136" t="s">
        <v>630</v>
      </c>
      <c r="C372" s="288" t="s">
        <v>748</v>
      </c>
      <c r="D372" s="288" t="s">
        <v>286</v>
      </c>
      <c r="E372" s="288" t="s">
        <v>286</v>
      </c>
      <c r="F372" s="288" t="s">
        <v>286</v>
      </c>
      <c r="G372" s="288" t="s">
        <v>286</v>
      </c>
      <c r="H372" s="288" t="s">
        <v>286</v>
      </c>
      <c r="I372" s="288" t="s">
        <v>286</v>
      </c>
      <c r="J372" s="288" t="s">
        <v>286</v>
      </c>
      <c r="K372" s="288" t="s">
        <v>286</v>
      </c>
      <c r="L372" s="288" t="s">
        <v>286</v>
      </c>
      <c r="M372" s="288" t="s">
        <v>286</v>
      </c>
      <c r="N372" s="288" t="s">
        <v>286</v>
      </c>
      <c r="O372" s="288" t="s">
        <v>286</v>
      </c>
      <c r="P372" s="288" t="s">
        <v>286</v>
      </c>
      <c r="Q372" s="288"/>
      <c r="R372" s="288"/>
      <c r="S372" s="288" t="s">
        <v>286</v>
      </c>
      <c r="T372" s="288" t="s">
        <v>286</v>
      </c>
    </row>
    <row r="373" spans="1:20" x14ac:dyDescent="0.25">
      <c r="A373" s="289" t="s">
        <v>728</v>
      </c>
      <c r="B373" s="136" t="s">
        <v>631</v>
      </c>
      <c r="C373" s="288" t="s">
        <v>748</v>
      </c>
      <c r="D373" s="288" t="s">
        <v>286</v>
      </c>
      <c r="E373" s="288" t="s">
        <v>286</v>
      </c>
      <c r="F373" s="288" t="s">
        <v>286</v>
      </c>
      <c r="G373" s="288" t="s">
        <v>286</v>
      </c>
      <c r="H373" s="288" t="s">
        <v>286</v>
      </c>
      <c r="I373" s="288" t="s">
        <v>286</v>
      </c>
      <c r="J373" s="288" t="s">
        <v>286</v>
      </c>
      <c r="K373" s="288" t="s">
        <v>286</v>
      </c>
      <c r="L373" s="288" t="s">
        <v>286</v>
      </c>
      <c r="M373" s="288" t="s">
        <v>286</v>
      </c>
      <c r="N373" s="288" t="s">
        <v>286</v>
      </c>
      <c r="O373" s="288" t="s">
        <v>286</v>
      </c>
      <c r="P373" s="288" t="s">
        <v>286</v>
      </c>
      <c r="Q373" s="288"/>
      <c r="R373" s="288"/>
      <c r="S373" s="288" t="s">
        <v>286</v>
      </c>
      <c r="T373" s="288" t="s">
        <v>286</v>
      </c>
    </row>
    <row r="374" spans="1:20" ht="16.5" thickBot="1" x14ac:dyDescent="0.3">
      <c r="A374" s="298" t="s">
        <v>729</v>
      </c>
      <c r="B374" s="299" t="s">
        <v>878</v>
      </c>
      <c r="C374" s="300" t="s">
        <v>1142</v>
      </c>
      <c r="D374" s="358">
        <v>1614</v>
      </c>
      <c r="E374" s="358">
        <v>1615</v>
      </c>
      <c r="F374" s="361">
        <v>1589</v>
      </c>
      <c r="G374" s="361">
        <v>1567</v>
      </c>
      <c r="H374" s="361">
        <v>1558</v>
      </c>
      <c r="I374" s="361">
        <v>1567</v>
      </c>
      <c r="J374" s="360">
        <v>1514</v>
      </c>
      <c r="K374" s="360">
        <v>1560</v>
      </c>
      <c r="L374" s="416">
        <v>1455</v>
      </c>
      <c r="M374" s="415">
        <v>1560</v>
      </c>
      <c r="N374" s="360"/>
      <c r="O374" s="360">
        <v>1560</v>
      </c>
      <c r="P374" s="360"/>
      <c r="Q374" s="360">
        <v>1560</v>
      </c>
      <c r="R374" s="360">
        <v>1560</v>
      </c>
      <c r="S374" s="360">
        <v>1560</v>
      </c>
      <c r="T374" s="360"/>
    </row>
    <row r="375" spans="1:20" x14ac:dyDescent="0.25">
      <c r="A375" s="409" t="s">
        <v>1121</v>
      </c>
      <c r="B375" s="403"/>
      <c r="C375" s="403"/>
      <c r="D375" s="403"/>
      <c r="E375" s="403"/>
      <c r="F375" s="403"/>
      <c r="G375" s="403"/>
      <c r="H375" s="403"/>
      <c r="I375" s="403"/>
      <c r="J375" s="403"/>
      <c r="K375" s="403"/>
      <c r="L375" s="403"/>
      <c r="M375" s="403"/>
      <c r="N375" s="403"/>
      <c r="O375" s="403"/>
      <c r="P375" s="403"/>
      <c r="Q375" s="403"/>
      <c r="R375" s="403"/>
      <c r="S375" s="403"/>
      <c r="T375" s="410"/>
    </row>
    <row r="376" spans="1:20" ht="16.5" customHeight="1" x14ac:dyDescent="0.25">
      <c r="A376" s="409"/>
      <c r="B376" s="403"/>
      <c r="C376" s="403"/>
      <c r="D376" s="403"/>
      <c r="E376" s="403"/>
      <c r="F376" s="403"/>
      <c r="G376" s="403"/>
      <c r="H376" s="403"/>
      <c r="I376" s="403"/>
      <c r="J376" s="403"/>
      <c r="K376" s="403"/>
      <c r="L376" s="403"/>
      <c r="M376" s="403"/>
      <c r="N376" s="403"/>
      <c r="O376" s="403"/>
      <c r="P376" s="403"/>
      <c r="Q376" s="403"/>
      <c r="R376" s="403"/>
      <c r="S376" s="403"/>
      <c r="T376" s="410"/>
    </row>
    <row r="377" spans="1:20" ht="33" customHeight="1" x14ac:dyDescent="0.25">
      <c r="A377" s="401" t="s">
        <v>0</v>
      </c>
      <c r="B377" s="399" t="s">
        <v>1</v>
      </c>
      <c r="C377" s="399" t="s">
        <v>603</v>
      </c>
      <c r="D377" s="287" t="s">
        <v>1172</v>
      </c>
      <c r="E377" s="287" t="s">
        <v>1171</v>
      </c>
      <c r="F377" s="287" t="s">
        <v>1165</v>
      </c>
      <c r="G377" s="399" t="s">
        <v>1164</v>
      </c>
      <c r="H377" s="399"/>
      <c r="I377" s="400" t="s">
        <v>1163</v>
      </c>
      <c r="J377" s="400"/>
      <c r="K377" s="399" t="s">
        <v>1160</v>
      </c>
      <c r="L377" s="399"/>
      <c r="M377" s="399" t="s">
        <v>1161</v>
      </c>
      <c r="N377" s="399"/>
      <c r="O377" s="400" t="s">
        <v>1162</v>
      </c>
      <c r="P377" s="400"/>
      <c r="Q377" s="376" t="s">
        <v>1185</v>
      </c>
      <c r="R377" s="376" t="s">
        <v>1186</v>
      </c>
      <c r="S377" s="411" t="s">
        <v>519</v>
      </c>
      <c r="T377" s="412"/>
    </row>
    <row r="378" spans="1:20" ht="58.15" customHeight="1" x14ac:dyDescent="0.25">
      <c r="A378" s="401"/>
      <c r="B378" s="399"/>
      <c r="C378" s="399"/>
      <c r="D378" s="287" t="s">
        <v>191</v>
      </c>
      <c r="E378" s="276" t="s">
        <v>191</v>
      </c>
      <c r="F378" s="276" t="s">
        <v>191</v>
      </c>
      <c r="G378" s="276" t="s">
        <v>1166</v>
      </c>
      <c r="H378" s="276" t="s">
        <v>1168</v>
      </c>
      <c r="I378" s="276" t="s">
        <v>1166</v>
      </c>
      <c r="J378" s="276" t="s">
        <v>191</v>
      </c>
      <c r="K378" s="276" t="s">
        <v>1166</v>
      </c>
      <c r="L378" s="276" t="s">
        <v>191</v>
      </c>
      <c r="M378" s="276" t="s">
        <v>1167</v>
      </c>
      <c r="N378" s="276" t="s">
        <v>604</v>
      </c>
      <c r="O378" s="276" t="s">
        <v>1167</v>
      </c>
      <c r="P378" s="276" t="s">
        <v>604</v>
      </c>
      <c r="Q378" s="276" t="s">
        <v>1167</v>
      </c>
      <c r="R378" s="276" t="s">
        <v>1167</v>
      </c>
      <c r="S378" s="276" t="s">
        <v>1078</v>
      </c>
      <c r="T378" s="276" t="s">
        <v>604</v>
      </c>
    </row>
    <row r="379" spans="1:20" s="297" customFormat="1" x14ac:dyDescent="0.25">
      <c r="A379" s="293">
        <v>1</v>
      </c>
      <c r="B379" s="294">
        <v>2</v>
      </c>
      <c r="C379" s="294">
        <v>3</v>
      </c>
      <c r="D379" s="295" t="s">
        <v>52</v>
      </c>
      <c r="E379" s="295" t="s">
        <v>55</v>
      </c>
      <c r="F379" s="295" t="s">
        <v>1079</v>
      </c>
      <c r="G379" s="295" t="s">
        <v>1080</v>
      </c>
      <c r="H379" s="295" t="s">
        <v>1081</v>
      </c>
      <c r="I379" s="295" t="s">
        <v>1082</v>
      </c>
      <c r="J379" s="295" t="s">
        <v>1083</v>
      </c>
      <c r="K379" s="387" t="s">
        <v>1084</v>
      </c>
      <c r="L379" s="387" t="s">
        <v>1085</v>
      </c>
      <c r="M379" s="295" t="s">
        <v>1086</v>
      </c>
      <c r="N379" s="295" t="s">
        <v>1087</v>
      </c>
      <c r="O379" s="295" t="s">
        <v>1173</v>
      </c>
      <c r="P379" s="295" t="s">
        <v>1174</v>
      </c>
      <c r="Q379" s="295" t="s">
        <v>1187</v>
      </c>
      <c r="R379" s="295" t="s">
        <v>1188</v>
      </c>
      <c r="S379" s="293" t="s">
        <v>1088</v>
      </c>
      <c r="T379" s="294">
        <v>6</v>
      </c>
    </row>
    <row r="380" spans="1:20" ht="30.75" customHeight="1" x14ac:dyDescent="0.25">
      <c r="A380" s="408" t="s">
        <v>1152</v>
      </c>
      <c r="B380" s="408"/>
      <c r="C380" s="288" t="s">
        <v>748</v>
      </c>
      <c r="D380" s="341">
        <v>120.30999999999999</v>
      </c>
      <c r="E380" s="305">
        <v>124.02</v>
      </c>
      <c r="F380" s="305">
        <v>133.09</v>
      </c>
      <c r="G380" s="305">
        <v>178.0992</v>
      </c>
      <c r="H380" s="305">
        <v>267.6994904</v>
      </c>
      <c r="I380" s="352">
        <v>384.46051800000004</v>
      </c>
      <c r="J380" s="386">
        <v>350.70452800000004</v>
      </c>
      <c r="K380" s="388">
        <v>346.08840000000004</v>
      </c>
      <c r="L380" s="389">
        <v>335.05931282999995</v>
      </c>
      <c r="M380" s="357">
        <f t="shared" ref="M380:R380" si="110">M381+M440</f>
        <v>252.95160000000001</v>
      </c>
      <c r="N380" s="352">
        <f t="shared" si="110"/>
        <v>292.84536800000001</v>
      </c>
      <c r="O380" s="352">
        <f t="shared" si="110"/>
        <v>156.75960000000001</v>
      </c>
      <c r="P380" s="352">
        <f t="shared" si="110"/>
        <v>361.303</v>
      </c>
      <c r="Q380" s="352">
        <f t="shared" si="110"/>
        <v>300.738</v>
      </c>
      <c r="R380" s="352">
        <f t="shared" si="110"/>
        <v>260.73599999999999</v>
      </c>
      <c r="S380" s="326">
        <f>I380+K380+M380+O380+G380</f>
        <v>1318.3593180000003</v>
      </c>
      <c r="T380" s="352"/>
    </row>
    <row r="381" spans="1:20" x14ac:dyDescent="0.25">
      <c r="A381" s="289" t="s">
        <v>16</v>
      </c>
      <c r="B381" s="123" t="s">
        <v>1040</v>
      </c>
      <c r="C381" s="288" t="s">
        <v>748</v>
      </c>
      <c r="D381" s="341">
        <v>120.30999999999999</v>
      </c>
      <c r="E381" s="305">
        <v>124.02</v>
      </c>
      <c r="F381" s="305">
        <v>133.09</v>
      </c>
      <c r="G381" s="305">
        <v>172.86959999999999</v>
      </c>
      <c r="H381" s="305">
        <v>262.47013040000002</v>
      </c>
      <c r="I381" s="352">
        <v>375.90691800000002</v>
      </c>
      <c r="J381" s="386">
        <v>342.15092800000002</v>
      </c>
      <c r="K381" s="388">
        <v>346.08840000000004</v>
      </c>
      <c r="L381" s="389">
        <v>335.05931282999995</v>
      </c>
      <c r="M381" s="357">
        <f t="shared" ref="M381:R381" si="111">M382+M406+M434</f>
        <v>252.95160000000001</v>
      </c>
      <c r="N381" s="352">
        <f t="shared" si="111"/>
        <v>292.84536800000001</v>
      </c>
      <c r="O381" s="352">
        <f t="shared" si="111"/>
        <v>148.67520000000002</v>
      </c>
      <c r="P381" s="352">
        <f t="shared" si="111"/>
        <v>361.303</v>
      </c>
      <c r="Q381" s="352">
        <f t="shared" si="111"/>
        <v>300.738</v>
      </c>
      <c r="R381" s="352">
        <f t="shared" si="111"/>
        <v>260.73599999999999</v>
      </c>
      <c r="S381" s="326">
        <f>I381+K381+M381+O381+G381</f>
        <v>1296.491718</v>
      </c>
      <c r="T381" s="352"/>
    </row>
    <row r="382" spans="1:20" x14ac:dyDescent="0.25">
      <c r="A382" s="289" t="s">
        <v>17</v>
      </c>
      <c r="B382" s="269" t="s">
        <v>198</v>
      </c>
      <c r="C382" s="288" t="s">
        <v>748</v>
      </c>
      <c r="D382" s="355">
        <v>36.24</v>
      </c>
      <c r="E382" s="306">
        <v>39.450000000000003</v>
      </c>
      <c r="F382" s="305">
        <v>41.23</v>
      </c>
      <c r="G382" s="305">
        <v>49.887</v>
      </c>
      <c r="H382" s="305">
        <v>113.77907999999999</v>
      </c>
      <c r="I382" s="352">
        <v>213.91500000000002</v>
      </c>
      <c r="J382" s="386">
        <v>187.80200000000002</v>
      </c>
      <c r="K382" s="388">
        <v>173.45500000000001</v>
      </c>
      <c r="L382" s="389">
        <v>170.58324716999999</v>
      </c>
      <c r="M382" s="357">
        <f t="shared" ref="M382:R382" si="112">M383+M391+M405</f>
        <v>78.028999999999996</v>
      </c>
      <c r="N382" s="352">
        <f t="shared" si="112"/>
        <v>114.66936800000001</v>
      </c>
      <c r="O382" s="352">
        <f t="shared" si="112"/>
        <v>12.949</v>
      </c>
      <c r="P382" s="352">
        <f t="shared" si="112"/>
        <v>158.465</v>
      </c>
      <c r="Q382" s="352">
        <f t="shared" si="112"/>
        <v>101.22499999999999</v>
      </c>
      <c r="R382" s="352">
        <f t="shared" si="112"/>
        <v>61.764000000000003</v>
      </c>
      <c r="S382" s="326">
        <f>I382+K382+M382+O382+G382</f>
        <v>528.23500000000001</v>
      </c>
      <c r="T382" s="352"/>
    </row>
    <row r="383" spans="1:20" ht="31.5" x14ac:dyDescent="0.25">
      <c r="A383" s="289" t="s">
        <v>199</v>
      </c>
      <c r="B383" s="136" t="s">
        <v>958</v>
      </c>
      <c r="C383" s="288" t="s">
        <v>748</v>
      </c>
      <c r="D383" s="305"/>
      <c r="E383" s="305"/>
      <c r="F383" s="351"/>
      <c r="G383" s="351">
        <v>11.25</v>
      </c>
      <c r="H383" s="352">
        <v>11.242710000000001</v>
      </c>
      <c r="I383" s="326">
        <v>15.834</v>
      </c>
      <c r="J383" s="368">
        <v>15.834</v>
      </c>
      <c r="K383" s="388">
        <v>19.344000000000001</v>
      </c>
      <c r="L383" s="389">
        <v>19.344000000000001</v>
      </c>
      <c r="M383" s="357">
        <v>12.499000000000001</v>
      </c>
      <c r="N383" s="352">
        <f>N389</f>
        <v>12.499000000000001</v>
      </c>
      <c r="O383" s="352">
        <v>12.949</v>
      </c>
      <c r="P383" s="352">
        <f>P389</f>
        <v>54.994</v>
      </c>
      <c r="Q383" s="352">
        <f>Q389</f>
        <v>57.469000000000001</v>
      </c>
      <c r="R383" s="352">
        <f>R389</f>
        <v>60.055</v>
      </c>
      <c r="S383" s="326">
        <f>I383+K383+M383+O383+G383</f>
        <v>71.876000000000005</v>
      </c>
      <c r="T383" s="352"/>
    </row>
    <row r="384" spans="1:20" x14ac:dyDescent="0.25">
      <c r="A384" s="289" t="s">
        <v>591</v>
      </c>
      <c r="B384" s="270" t="s">
        <v>880</v>
      </c>
      <c r="C384" s="288" t="s">
        <v>748</v>
      </c>
      <c r="D384" s="288" t="s">
        <v>286</v>
      </c>
      <c r="E384" s="288" t="s">
        <v>286</v>
      </c>
      <c r="F384" s="288" t="s">
        <v>286</v>
      </c>
      <c r="G384" s="288" t="s">
        <v>286</v>
      </c>
      <c r="H384" s="288" t="s">
        <v>286</v>
      </c>
      <c r="I384" s="288" t="s">
        <v>286</v>
      </c>
      <c r="J384" s="288" t="s">
        <v>286</v>
      </c>
      <c r="K384" s="288" t="s">
        <v>286</v>
      </c>
      <c r="L384" s="288" t="s">
        <v>286</v>
      </c>
      <c r="M384" s="288" t="s">
        <v>286</v>
      </c>
      <c r="N384" s="288" t="s">
        <v>286</v>
      </c>
      <c r="O384" s="288" t="s">
        <v>286</v>
      </c>
      <c r="P384" s="288" t="s">
        <v>286</v>
      </c>
      <c r="Q384" s="288" t="s">
        <v>286</v>
      </c>
      <c r="R384" s="288" t="s">
        <v>286</v>
      </c>
      <c r="S384" s="288" t="s">
        <v>286</v>
      </c>
      <c r="T384" s="288" t="s">
        <v>286</v>
      </c>
    </row>
    <row r="385" spans="1:20" ht="31.5" x14ac:dyDescent="0.25">
      <c r="A385" s="289" t="s">
        <v>915</v>
      </c>
      <c r="B385" s="271" t="s">
        <v>897</v>
      </c>
      <c r="C385" s="288" t="s">
        <v>748</v>
      </c>
      <c r="D385" s="288" t="s">
        <v>286</v>
      </c>
      <c r="E385" s="288" t="s">
        <v>286</v>
      </c>
      <c r="F385" s="288" t="s">
        <v>286</v>
      </c>
      <c r="G385" s="288" t="s">
        <v>286</v>
      </c>
      <c r="H385" s="288" t="s">
        <v>286</v>
      </c>
      <c r="I385" s="288" t="s">
        <v>286</v>
      </c>
      <c r="J385" s="288" t="s">
        <v>286</v>
      </c>
      <c r="K385" s="288" t="s">
        <v>286</v>
      </c>
      <c r="L385" s="288" t="s">
        <v>286</v>
      </c>
      <c r="M385" s="288" t="s">
        <v>286</v>
      </c>
      <c r="N385" s="288" t="s">
        <v>286</v>
      </c>
      <c r="O385" s="288" t="s">
        <v>286</v>
      </c>
      <c r="P385" s="288" t="s">
        <v>286</v>
      </c>
      <c r="Q385" s="288" t="s">
        <v>286</v>
      </c>
      <c r="R385" s="288" t="s">
        <v>286</v>
      </c>
      <c r="S385" s="288" t="s">
        <v>286</v>
      </c>
      <c r="T385" s="288" t="s">
        <v>286</v>
      </c>
    </row>
    <row r="386" spans="1:20" ht="31.5" x14ac:dyDescent="0.25">
      <c r="A386" s="289" t="s">
        <v>916</v>
      </c>
      <c r="B386" s="271" t="s">
        <v>898</v>
      </c>
      <c r="C386" s="288" t="s">
        <v>748</v>
      </c>
      <c r="D386" s="288" t="s">
        <v>286</v>
      </c>
      <c r="E386" s="288" t="s">
        <v>286</v>
      </c>
      <c r="F386" s="288" t="s">
        <v>286</v>
      </c>
      <c r="G386" s="288" t="s">
        <v>286</v>
      </c>
      <c r="H386" s="288" t="s">
        <v>286</v>
      </c>
      <c r="I386" s="288" t="s">
        <v>286</v>
      </c>
      <c r="J386" s="288" t="s">
        <v>286</v>
      </c>
      <c r="K386" s="288" t="s">
        <v>286</v>
      </c>
      <c r="L386" s="288" t="s">
        <v>286</v>
      </c>
      <c r="M386" s="288" t="s">
        <v>286</v>
      </c>
      <c r="N386" s="288" t="s">
        <v>286</v>
      </c>
      <c r="O386" s="288" t="s">
        <v>286</v>
      </c>
      <c r="P386" s="288" t="s">
        <v>286</v>
      </c>
      <c r="Q386" s="288" t="s">
        <v>286</v>
      </c>
      <c r="R386" s="288" t="s">
        <v>286</v>
      </c>
      <c r="S386" s="288" t="s">
        <v>286</v>
      </c>
      <c r="T386" s="288" t="s">
        <v>286</v>
      </c>
    </row>
    <row r="387" spans="1:20" ht="31.5" x14ac:dyDescent="0.25">
      <c r="A387" s="289" t="s">
        <v>959</v>
      </c>
      <c r="B387" s="271" t="s">
        <v>883</v>
      </c>
      <c r="C387" s="288" t="s">
        <v>748</v>
      </c>
      <c r="D387" s="288" t="s">
        <v>286</v>
      </c>
      <c r="E387" s="288" t="s">
        <v>286</v>
      </c>
      <c r="F387" s="288" t="s">
        <v>286</v>
      </c>
      <c r="G387" s="288" t="s">
        <v>286</v>
      </c>
      <c r="H387" s="288" t="s">
        <v>286</v>
      </c>
      <c r="I387" s="288" t="s">
        <v>286</v>
      </c>
      <c r="J387" s="288" t="s">
        <v>286</v>
      </c>
      <c r="K387" s="288" t="s">
        <v>286</v>
      </c>
      <c r="L387" s="288" t="s">
        <v>286</v>
      </c>
      <c r="M387" s="288" t="s">
        <v>286</v>
      </c>
      <c r="N387" s="288" t="s">
        <v>286</v>
      </c>
      <c r="O387" s="288" t="s">
        <v>286</v>
      </c>
      <c r="P387" s="288" t="s">
        <v>286</v>
      </c>
      <c r="Q387" s="288" t="s">
        <v>286</v>
      </c>
      <c r="R387" s="288" t="s">
        <v>286</v>
      </c>
      <c r="S387" s="288" t="s">
        <v>286</v>
      </c>
      <c r="T387" s="288" t="s">
        <v>286</v>
      </c>
    </row>
    <row r="388" spans="1:20" x14ac:dyDescent="0.25">
      <c r="A388" s="289" t="s">
        <v>592</v>
      </c>
      <c r="B388" s="270" t="s">
        <v>1059</v>
      </c>
      <c r="C388" s="288" t="s">
        <v>748</v>
      </c>
      <c r="D388" s="288" t="s">
        <v>286</v>
      </c>
      <c r="E388" s="288" t="s">
        <v>286</v>
      </c>
      <c r="F388" s="288" t="s">
        <v>286</v>
      </c>
      <c r="G388" s="288" t="s">
        <v>286</v>
      </c>
      <c r="H388" s="288" t="s">
        <v>286</v>
      </c>
      <c r="I388" s="288" t="s">
        <v>286</v>
      </c>
      <c r="J388" s="288" t="s">
        <v>286</v>
      </c>
      <c r="K388" s="288" t="s">
        <v>286</v>
      </c>
      <c r="L388" s="288" t="s">
        <v>286</v>
      </c>
      <c r="M388" s="288" t="s">
        <v>286</v>
      </c>
      <c r="N388" s="288" t="s">
        <v>286</v>
      </c>
      <c r="O388" s="288" t="s">
        <v>286</v>
      </c>
      <c r="P388" s="288" t="s">
        <v>286</v>
      </c>
      <c r="Q388" s="288" t="s">
        <v>286</v>
      </c>
      <c r="R388" s="288" t="s">
        <v>286</v>
      </c>
      <c r="S388" s="288" t="s">
        <v>286</v>
      </c>
      <c r="T388" s="288" t="s">
        <v>286</v>
      </c>
    </row>
    <row r="389" spans="1:20" x14ac:dyDescent="0.25">
      <c r="A389" s="289" t="s">
        <v>593</v>
      </c>
      <c r="B389" s="270" t="s">
        <v>881</v>
      </c>
      <c r="C389" s="288" t="s">
        <v>748</v>
      </c>
      <c r="D389" s="305">
        <v>36.24</v>
      </c>
      <c r="E389" s="305">
        <v>39.450000000000003</v>
      </c>
      <c r="F389" s="351">
        <v>41.23</v>
      </c>
      <c r="G389" s="351">
        <v>11.25</v>
      </c>
      <c r="H389" s="352">
        <v>11.242710000000001</v>
      </c>
      <c r="I389" s="326">
        <v>15.834</v>
      </c>
      <c r="J389" s="330">
        <v>15.834</v>
      </c>
      <c r="K389" s="375">
        <v>19.34</v>
      </c>
      <c r="L389" s="374">
        <v>19.344000000000001</v>
      </c>
      <c r="M389" s="352">
        <f>M383</f>
        <v>12.499000000000001</v>
      </c>
      <c r="N389" s="352">
        <v>12.499000000000001</v>
      </c>
      <c r="O389" s="352">
        <f>O383</f>
        <v>12.949</v>
      </c>
      <c r="P389" s="352">
        <v>54.994</v>
      </c>
      <c r="Q389" s="352">
        <v>57.469000000000001</v>
      </c>
      <c r="R389" s="352">
        <v>60.055</v>
      </c>
      <c r="S389" s="326">
        <f>I389+K389+M389+O389+G389</f>
        <v>71.872</v>
      </c>
      <c r="T389" s="352"/>
    </row>
    <row r="390" spans="1:20" x14ac:dyDescent="0.25">
      <c r="A390" s="289" t="s">
        <v>594</v>
      </c>
      <c r="B390" s="270" t="s">
        <v>1051</v>
      </c>
      <c r="C390" s="288" t="s">
        <v>748</v>
      </c>
      <c r="D390" s="288" t="s">
        <v>286</v>
      </c>
      <c r="E390" s="288" t="s">
        <v>286</v>
      </c>
      <c r="F390" s="288" t="s">
        <v>286</v>
      </c>
      <c r="G390" s="288" t="s">
        <v>286</v>
      </c>
      <c r="H390" s="288" t="s">
        <v>286</v>
      </c>
      <c r="I390" s="288" t="s">
        <v>286</v>
      </c>
      <c r="J390" s="288" t="s">
        <v>286</v>
      </c>
      <c r="K390" s="288" t="s">
        <v>286</v>
      </c>
      <c r="L390" s="288" t="s">
        <v>286</v>
      </c>
      <c r="M390" s="288" t="s">
        <v>286</v>
      </c>
      <c r="N390" s="288" t="s">
        <v>286</v>
      </c>
      <c r="O390" s="288" t="s">
        <v>286</v>
      </c>
      <c r="P390" s="288" t="s">
        <v>286</v>
      </c>
      <c r="Q390" s="288" t="s">
        <v>286</v>
      </c>
      <c r="R390" s="288" t="s">
        <v>286</v>
      </c>
      <c r="S390" s="288" t="s">
        <v>286</v>
      </c>
      <c r="T390" s="288" t="s">
        <v>286</v>
      </c>
    </row>
    <row r="391" spans="1:20" x14ac:dyDescent="0.25">
      <c r="A391" s="289" t="s">
        <v>595</v>
      </c>
      <c r="B391" s="270" t="s">
        <v>204</v>
      </c>
      <c r="C391" s="288" t="s">
        <v>748</v>
      </c>
      <c r="D391" s="305"/>
      <c r="E391" s="305"/>
      <c r="F391" s="351"/>
      <c r="G391" s="351">
        <v>38.637</v>
      </c>
      <c r="H391" s="352"/>
      <c r="I391" s="352">
        <v>182.28100000000001</v>
      </c>
      <c r="J391" s="352">
        <v>156.43</v>
      </c>
      <c r="K391" s="375">
        <v>147.92500000000001</v>
      </c>
      <c r="L391" s="374">
        <v>143.73606050999999</v>
      </c>
      <c r="M391" s="352">
        <v>65.53</v>
      </c>
      <c r="N391" s="352">
        <f>65.534+31.851</f>
        <v>97.385000000000005</v>
      </c>
      <c r="O391" s="352"/>
      <c r="P391" s="352">
        <v>103.471</v>
      </c>
      <c r="Q391" s="352">
        <v>43.756</v>
      </c>
      <c r="R391" s="352">
        <v>1.7090000000000001</v>
      </c>
      <c r="S391" s="326">
        <f>I391+K391+M391+O391+G391</f>
        <v>434.37299999999999</v>
      </c>
      <c r="T391" s="352"/>
    </row>
    <row r="392" spans="1:20" ht="31.5" x14ac:dyDescent="0.25">
      <c r="A392" s="289" t="s">
        <v>960</v>
      </c>
      <c r="B392" s="271" t="s">
        <v>957</v>
      </c>
      <c r="C392" s="288" t="s">
        <v>748</v>
      </c>
      <c r="D392" s="288" t="s">
        <v>286</v>
      </c>
      <c r="E392" s="288" t="s">
        <v>286</v>
      </c>
      <c r="F392" s="288" t="s">
        <v>286</v>
      </c>
      <c r="G392" s="288" t="s">
        <v>286</v>
      </c>
      <c r="H392" s="288" t="s">
        <v>286</v>
      </c>
      <c r="I392" s="288" t="s">
        <v>286</v>
      </c>
      <c r="J392" s="288" t="s">
        <v>286</v>
      </c>
      <c r="K392" s="288" t="s">
        <v>286</v>
      </c>
      <c r="L392" s="288" t="s">
        <v>286</v>
      </c>
      <c r="M392" s="288" t="s">
        <v>286</v>
      </c>
      <c r="N392" s="288" t="s">
        <v>286</v>
      </c>
      <c r="O392" s="288" t="s">
        <v>286</v>
      </c>
      <c r="P392" s="288" t="s">
        <v>286</v>
      </c>
      <c r="Q392" s="288" t="s">
        <v>286</v>
      </c>
      <c r="R392" s="288" t="s">
        <v>286</v>
      </c>
      <c r="S392" s="288" t="s">
        <v>286</v>
      </c>
      <c r="T392" s="288" t="s">
        <v>286</v>
      </c>
    </row>
    <row r="393" spans="1:20" x14ac:dyDescent="0.25">
      <c r="A393" s="289" t="s">
        <v>961</v>
      </c>
      <c r="B393" s="271" t="s">
        <v>1003</v>
      </c>
      <c r="C393" s="288" t="s">
        <v>748</v>
      </c>
      <c r="D393" s="288" t="s">
        <v>286</v>
      </c>
      <c r="E393" s="288" t="s">
        <v>286</v>
      </c>
      <c r="F393" s="288" t="s">
        <v>286</v>
      </c>
      <c r="G393" s="288" t="s">
        <v>286</v>
      </c>
      <c r="H393" s="288" t="s">
        <v>286</v>
      </c>
      <c r="I393" s="288" t="s">
        <v>286</v>
      </c>
      <c r="J393" s="288" t="s">
        <v>286</v>
      </c>
      <c r="K393" s="288" t="s">
        <v>286</v>
      </c>
      <c r="L393" s="288" t="s">
        <v>286</v>
      </c>
      <c r="M393" s="288" t="s">
        <v>286</v>
      </c>
      <c r="N393" s="288" t="s">
        <v>286</v>
      </c>
      <c r="O393" s="288" t="s">
        <v>286</v>
      </c>
      <c r="P393" s="288" t="s">
        <v>286</v>
      </c>
      <c r="Q393" s="288" t="s">
        <v>286</v>
      </c>
      <c r="R393" s="288" t="s">
        <v>286</v>
      </c>
      <c r="S393" s="288" t="s">
        <v>286</v>
      </c>
      <c r="T393" s="288" t="s">
        <v>286</v>
      </c>
    </row>
    <row r="394" spans="1:20" x14ac:dyDescent="0.25">
      <c r="A394" s="289" t="s">
        <v>962</v>
      </c>
      <c r="B394" s="271" t="s">
        <v>730</v>
      </c>
      <c r="C394" s="288" t="s">
        <v>748</v>
      </c>
      <c r="D394" s="305"/>
      <c r="E394" s="305"/>
      <c r="F394" s="351"/>
      <c r="G394" s="351">
        <v>38.637</v>
      </c>
      <c r="H394" s="352"/>
      <c r="I394" s="352">
        <v>182.28100000000001</v>
      </c>
      <c r="J394" s="352">
        <v>156.43</v>
      </c>
      <c r="K394" s="375">
        <v>147.92500000000001</v>
      </c>
      <c r="L394" s="374">
        <v>143.73606050999999</v>
      </c>
      <c r="M394" s="352">
        <v>65.53</v>
      </c>
      <c r="N394" s="352">
        <f>N391</f>
        <v>97.385000000000005</v>
      </c>
      <c r="O394" s="352"/>
      <c r="P394" s="352">
        <f>P391</f>
        <v>103.471</v>
      </c>
      <c r="Q394" s="352">
        <f>Q391</f>
        <v>43.756</v>
      </c>
      <c r="R394" s="352">
        <v>1.7090000000000001</v>
      </c>
      <c r="S394" s="326">
        <f>I394+K394+M394+O394+G394</f>
        <v>434.37299999999999</v>
      </c>
      <c r="T394" s="352"/>
    </row>
    <row r="395" spans="1:20" x14ac:dyDescent="0.25">
      <c r="A395" s="289" t="s">
        <v>963</v>
      </c>
      <c r="B395" s="271" t="s">
        <v>1003</v>
      </c>
      <c r="C395" s="288" t="s">
        <v>748</v>
      </c>
      <c r="D395" s="288" t="s">
        <v>286</v>
      </c>
      <c r="E395" s="288" t="s">
        <v>286</v>
      </c>
      <c r="F395" s="288" t="s">
        <v>286</v>
      </c>
      <c r="G395" s="288" t="s">
        <v>286</v>
      </c>
      <c r="H395" s="288" t="s">
        <v>286</v>
      </c>
      <c r="I395" s="288" t="s">
        <v>286</v>
      </c>
      <c r="J395" s="288" t="s">
        <v>286</v>
      </c>
      <c r="K395" s="288" t="s">
        <v>286</v>
      </c>
      <c r="L395" s="288" t="s">
        <v>286</v>
      </c>
      <c r="M395" s="288" t="s">
        <v>286</v>
      </c>
      <c r="N395" s="288" t="s">
        <v>286</v>
      </c>
      <c r="O395" s="288" t="s">
        <v>286</v>
      </c>
      <c r="P395" s="288" t="s">
        <v>286</v>
      </c>
      <c r="Q395" s="288" t="s">
        <v>286</v>
      </c>
      <c r="R395" s="288" t="s">
        <v>286</v>
      </c>
      <c r="S395" s="288" t="s">
        <v>286</v>
      </c>
      <c r="T395" s="288" t="s">
        <v>286</v>
      </c>
    </row>
    <row r="396" spans="1:20" x14ac:dyDescent="0.25">
      <c r="A396" s="289" t="s">
        <v>596</v>
      </c>
      <c r="B396" s="270" t="s">
        <v>882</v>
      </c>
      <c r="C396" s="288" t="s">
        <v>748</v>
      </c>
      <c r="D396" s="288" t="s">
        <v>286</v>
      </c>
      <c r="E396" s="288" t="s">
        <v>286</v>
      </c>
      <c r="F396" s="288" t="s">
        <v>286</v>
      </c>
      <c r="G396" s="288" t="s">
        <v>286</v>
      </c>
      <c r="H396" s="288" t="s">
        <v>286</v>
      </c>
      <c r="I396" s="288" t="s">
        <v>286</v>
      </c>
      <c r="J396" s="288" t="s">
        <v>286</v>
      </c>
      <c r="K396" s="288" t="s">
        <v>286</v>
      </c>
      <c r="L396" s="288" t="s">
        <v>286</v>
      </c>
      <c r="M396" s="288" t="s">
        <v>286</v>
      </c>
      <c r="N396" s="288" t="s">
        <v>286</v>
      </c>
      <c r="O396" s="288" t="s">
        <v>286</v>
      </c>
      <c r="P396" s="288" t="s">
        <v>286</v>
      </c>
      <c r="Q396" s="288" t="s">
        <v>286</v>
      </c>
      <c r="R396" s="288" t="s">
        <v>286</v>
      </c>
      <c r="S396" s="288" t="s">
        <v>286</v>
      </c>
      <c r="T396" s="288" t="s">
        <v>286</v>
      </c>
    </row>
    <row r="397" spans="1:20" x14ac:dyDescent="0.25">
      <c r="A397" s="289" t="s">
        <v>616</v>
      </c>
      <c r="B397" s="270" t="s">
        <v>1056</v>
      </c>
      <c r="C397" s="288" t="s">
        <v>748</v>
      </c>
      <c r="D397" s="288" t="s">
        <v>286</v>
      </c>
      <c r="E397" s="288" t="s">
        <v>286</v>
      </c>
      <c r="F397" s="288" t="s">
        <v>286</v>
      </c>
      <c r="G397" s="288" t="s">
        <v>286</v>
      </c>
      <c r="H397" s="288" t="s">
        <v>286</v>
      </c>
      <c r="I397" s="288" t="s">
        <v>286</v>
      </c>
      <c r="J397" s="288" t="s">
        <v>286</v>
      </c>
      <c r="K397" s="288" t="s">
        <v>286</v>
      </c>
      <c r="L397" s="288" t="s">
        <v>286</v>
      </c>
      <c r="M397" s="288" t="s">
        <v>286</v>
      </c>
      <c r="N397" s="288" t="s">
        <v>286</v>
      </c>
      <c r="O397" s="288" t="s">
        <v>286</v>
      </c>
      <c r="P397" s="288" t="s">
        <v>286</v>
      </c>
      <c r="Q397" s="288" t="s">
        <v>286</v>
      </c>
      <c r="R397" s="288" t="s">
        <v>286</v>
      </c>
      <c r="S397" s="288" t="s">
        <v>286</v>
      </c>
      <c r="T397" s="288" t="s">
        <v>286</v>
      </c>
    </row>
    <row r="398" spans="1:20" ht="31.5" x14ac:dyDescent="0.25">
      <c r="A398" s="289" t="s">
        <v>908</v>
      </c>
      <c r="B398" s="270" t="s">
        <v>1041</v>
      </c>
      <c r="C398" s="288" t="s">
        <v>748</v>
      </c>
      <c r="D398" s="288" t="s">
        <v>286</v>
      </c>
      <c r="E398" s="288" t="s">
        <v>286</v>
      </c>
      <c r="F398" s="288" t="s">
        <v>286</v>
      </c>
      <c r="G398" s="288" t="s">
        <v>286</v>
      </c>
      <c r="H398" s="288" t="s">
        <v>286</v>
      </c>
      <c r="I398" s="288" t="s">
        <v>286</v>
      </c>
      <c r="J398" s="288" t="s">
        <v>286</v>
      </c>
      <c r="K398" s="288" t="s">
        <v>286</v>
      </c>
      <c r="L398" s="288" t="s">
        <v>286</v>
      </c>
      <c r="M398" s="288" t="s">
        <v>286</v>
      </c>
      <c r="N398" s="288" t="s">
        <v>286</v>
      </c>
      <c r="O398" s="288" t="s">
        <v>286</v>
      </c>
      <c r="P398" s="288" t="s">
        <v>286</v>
      </c>
      <c r="Q398" s="288" t="s">
        <v>286</v>
      </c>
      <c r="R398" s="288" t="s">
        <v>286</v>
      </c>
      <c r="S398" s="288" t="s">
        <v>286</v>
      </c>
      <c r="T398" s="288" t="s">
        <v>286</v>
      </c>
    </row>
    <row r="399" spans="1:20" ht="18" customHeight="1" x14ac:dyDescent="0.25">
      <c r="A399" s="289" t="s">
        <v>964</v>
      </c>
      <c r="B399" s="271" t="s">
        <v>643</v>
      </c>
      <c r="C399" s="288" t="s">
        <v>748</v>
      </c>
      <c r="D399" s="288" t="s">
        <v>286</v>
      </c>
      <c r="E399" s="288" t="s">
        <v>286</v>
      </c>
      <c r="F399" s="288" t="s">
        <v>286</v>
      </c>
      <c r="G399" s="288" t="s">
        <v>286</v>
      </c>
      <c r="H399" s="288" t="s">
        <v>286</v>
      </c>
      <c r="I399" s="288" t="s">
        <v>286</v>
      </c>
      <c r="J399" s="288" t="s">
        <v>286</v>
      </c>
      <c r="K399" s="288" t="s">
        <v>286</v>
      </c>
      <c r="L399" s="288" t="s">
        <v>286</v>
      </c>
      <c r="M399" s="288" t="s">
        <v>286</v>
      </c>
      <c r="N399" s="288" t="s">
        <v>286</v>
      </c>
      <c r="O399" s="288" t="s">
        <v>286</v>
      </c>
      <c r="P399" s="288" t="s">
        <v>286</v>
      </c>
      <c r="Q399" s="288" t="s">
        <v>286</v>
      </c>
      <c r="R399" s="288" t="s">
        <v>286</v>
      </c>
      <c r="S399" s="288" t="s">
        <v>286</v>
      </c>
      <c r="T399" s="288" t="s">
        <v>286</v>
      </c>
    </row>
    <row r="400" spans="1:20" ht="18" customHeight="1" x14ac:dyDescent="0.25">
      <c r="A400" s="289" t="s">
        <v>965</v>
      </c>
      <c r="B400" s="278" t="s">
        <v>631</v>
      </c>
      <c r="C400" s="288" t="s">
        <v>748</v>
      </c>
      <c r="D400" s="288" t="s">
        <v>286</v>
      </c>
      <c r="E400" s="288" t="s">
        <v>286</v>
      </c>
      <c r="F400" s="288" t="s">
        <v>286</v>
      </c>
      <c r="G400" s="288" t="s">
        <v>286</v>
      </c>
      <c r="H400" s="288" t="s">
        <v>286</v>
      </c>
      <c r="I400" s="288" t="s">
        <v>286</v>
      </c>
      <c r="J400" s="288" t="s">
        <v>286</v>
      </c>
      <c r="K400" s="288" t="s">
        <v>286</v>
      </c>
      <c r="L400" s="288" t="s">
        <v>286</v>
      </c>
      <c r="M400" s="288" t="s">
        <v>286</v>
      </c>
      <c r="N400" s="288" t="s">
        <v>286</v>
      </c>
      <c r="O400" s="288" t="s">
        <v>286</v>
      </c>
      <c r="P400" s="288" t="s">
        <v>286</v>
      </c>
      <c r="Q400" s="288" t="s">
        <v>286</v>
      </c>
      <c r="R400" s="288" t="s">
        <v>286</v>
      </c>
      <c r="S400" s="288" t="s">
        <v>286</v>
      </c>
      <c r="T400" s="288" t="s">
        <v>286</v>
      </c>
    </row>
    <row r="401" spans="1:20" ht="31.5" x14ac:dyDescent="0.25">
      <c r="A401" s="289" t="s">
        <v>201</v>
      </c>
      <c r="B401" s="136" t="s">
        <v>1000</v>
      </c>
      <c r="C401" s="288" t="s">
        <v>748</v>
      </c>
      <c r="D401" s="288" t="s">
        <v>286</v>
      </c>
      <c r="E401" s="288" t="s">
        <v>286</v>
      </c>
      <c r="F401" s="288" t="s">
        <v>286</v>
      </c>
      <c r="G401" s="288" t="s">
        <v>286</v>
      </c>
      <c r="H401" s="288" t="s">
        <v>286</v>
      </c>
      <c r="I401" s="288" t="s">
        <v>286</v>
      </c>
      <c r="J401" s="288" t="s">
        <v>286</v>
      </c>
      <c r="K401" s="288" t="s">
        <v>286</v>
      </c>
      <c r="L401" s="288" t="s">
        <v>286</v>
      </c>
      <c r="M401" s="288" t="s">
        <v>286</v>
      </c>
      <c r="N401" s="288" t="s">
        <v>286</v>
      </c>
      <c r="O401" s="288" t="s">
        <v>286</v>
      </c>
      <c r="P401" s="288" t="s">
        <v>286</v>
      </c>
      <c r="Q401" s="288" t="s">
        <v>286</v>
      </c>
      <c r="R401" s="288" t="s">
        <v>286</v>
      </c>
      <c r="S401" s="288" t="s">
        <v>286</v>
      </c>
      <c r="T401" s="288" t="s">
        <v>286</v>
      </c>
    </row>
    <row r="402" spans="1:20" ht="31.5" x14ac:dyDescent="0.25">
      <c r="A402" s="289" t="s">
        <v>966</v>
      </c>
      <c r="B402" s="270" t="s">
        <v>897</v>
      </c>
      <c r="C402" s="288" t="s">
        <v>748</v>
      </c>
      <c r="D402" s="288" t="s">
        <v>286</v>
      </c>
      <c r="E402" s="288" t="s">
        <v>286</v>
      </c>
      <c r="F402" s="288" t="s">
        <v>286</v>
      </c>
      <c r="G402" s="288" t="s">
        <v>286</v>
      </c>
      <c r="H402" s="288" t="s">
        <v>286</v>
      </c>
      <c r="I402" s="288" t="s">
        <v>286</v>
      </c>
      <c r="J402" s="288" t="s">
        <v>286</v>
      </c>
      <c r="K402" s="288" t="s">
        <v>286</v>
      </c>
      <c r="L402" s="288" t="s">
        <v>286</v>
      </c>
      <c r="M402" s="288" t="s">
        <v>286</v>
      </c>
      <c r="N402" s="288" t="s">
        <v>286</v>
      </c>
      <c r="O402" s="288" t="s">
        <v>286</v>
      </c>
      <c r="P402" s="288" t="s">
        <v>286</v>
      </c>
      <c r="Q402" s="288" t="s">
        <v>286</v>
      </c>
      <c r="R402" s="288" t="s">
        <v>286</v>
      </c>
      <c r="S402" s="288" t="s">
        <v>286</v>
      </c>
      <c r="T402" s="288" t="s">
        <v>286</v>
      </c>
    </row>
    <row r="403" spans="1:20" ht="31.5" x14ac:dyDescent="0.25">
      <c r="A403" s="289" t="s">
        <v>967</v>
      </c>
      <c r="B403" s="270" t="s">
        <v>898</v>
      </c>
      <c r="C403" s="288" t="s">
        <v>748</v>
      </c>
      <c r="D403" s="288" t="s">
        <v>286</v>
      </c>
      <c r="E403" s="288" t="s">
        <v>286</v>
      </c>
      <c r="F403" s="288" t="s">
        <v>286</v>
      </c>
      <c r="G403" s="288" t="s">
        <v>286</v>
      </c>
      <c r="H403" s="288" t="s">
        <v>286</v>
      </c>
      <c r="I403" s="288" t="s">
        <v>286</v>
      </c>
      <c r="J403" s="288" t="s">
        <v>286</v>
      </c>
      <c r="K403" s="288" t="s">
        <v>286</v>
      </c>
      <c r="L403" s="288" t="s">
        <v>286</v>
      </c>
      <c r="M403" s="288" t="s">
        <v>286</v>
      </c>
      <c r="N403" s="288" t="s">
        <v>286</v>
      </c>
      <c r="O403" s="288" t="s">
        <v>286</v>
      </c>
      <c r="P403" s="288" t="s">
        <v>286</v>
      </c>
      <c r="Q403" s="288" t="s">
        <v>286</v>
      </c>
      <c r="R403" s="288" t="s">
        <v>286</v>
      </c>
      <c r="S403" s="288" t="s">
        <v>286</v>
      </c>
      <c r="T403" s="288" t="s">
        <v>286</v>
      </c>
    </row>
    <row r="404" spans="1:20" ht="31.5" x14ac:dyDescent="0.25">
      <c r="A404" s="289" t="s">
        <v>968</v>
      </c>
      <c r="B404" s="270" t="s">
        <v>883</v>
      </c>
      <c r="C404" s="288" t="s">
        <v>748</v>
      </c>
      <c r="D404" s="288" t="s">
        <v>286</v>
      </c>
      <c r="E404" s="288" t="s">
        <v>286</v>
      </c>
      <c r="F404" s="288" t="s">
        <v>286</v>
      </c>
      <c r="G404" s="288" t="s">
        <v>286</v>
      </c>
      <c r="H404" s="288" t="s">
        <v>286</v>
      </c>
      <c r="I404" s="288" t="s">
        <v>286</v>
      </c>
      <c r="J404" s="288" t="s">
        <v>286</v>
      </c>
      <c r="K404" s="288" t="s">
        <v>286</v>
      </c>
      <c r="L404" s="288" t="s">
        <v>286</v>
      </c>
      <c r="M404" s="288" t="s">
        <v>286</v>
      </c>
      <c r="N404" s="288" t="s">
        <v>286</v>
      </c>
      <c r="O404" s="288" t="s">
        <v>286</v>
      </c>
      <c r="P404" s="288" t="s">
        <v>286</v>
      </c>
      <c r="Q404" s="288" t="s">
        <v>286</v>
      </c>
      <c r="R404" s="288" t="s">
        <v>286</v>
      </c>
      <c r="S404" s="288" t="s">
        <v>286</v>
      </c>
      <c r="T404" s="288" t="s">
        <v>286</v>
      </c>
    </row>
    <row r="405" spans="1:20" x14ac:dyDescent="0.25">
      <c r="A405" s="289" t="s">
        <v>203</v>
      </c>
      <c r="B405" s="136" t="s">
        <v>498</v>
      </c>
      <c r="C405" s="288" t="s">
        <v>748</v>
      </c>
      <c r="D405" s="305"/>
      <c r="E405" s="305"/>
      <c r="F405" s="306"/>
      <c r="G405" s="306"/>
      <c r="H405" s="352">
        <v>102.53636999999999</v>
      </c>
      <c r="I405" s="326">
        <v>15.799999999999999</v>
      </c>
      <c r="J405" s="368">
        <v>15.538</v>
      </c>
      <c r="K405" s="379">
        <v>6.1859999999999999</v>
      </c>
      <c r="L405" s="380">
        <v>7.5031866599999999</v>
      </c>
      <c r="M405" s="357"/>
      <c r="N405" s="352">
        <f>2.910368+1.875</f>
        <v>4.7853680000000001</v>
      </c>
      <c r="O405" s="352"/>
      <c r="P405" s="352"/>
      <c r="Q405" s="352"/>
      <c r="R405" s="352"/>
      <c r="S405" s="326">
        <f>I405+K405+M405+O405+G405</f>
        <v>21.985999999999997</v>
      </c>
      <c r="T405" s="352"/>
    </row>
    <row r="406" spans="1:20" x14ac:dyDescent="0.25">
      <c r="A406" s="289" t="s">
        <v>18</v>
      </c>
      <c r="B406" s="269" t="s">
        <v>1042</v>
      </c>
      <c r="C406" s="288" t="s">
        <v>748</v>
      </c>
      <c r="D406" s="355">
        <v>64.02</v>
      </c>
      <c r="E406" s="306">
        <v>63.9</v>
      </c>
      <c r="F406" s="305">
        <v>69.680000000000007</v>
      </c>
      <c r="G406" s="305">
        <v>94.171000000000006</v>
      </c>
      <c r="H406" s="305">
        <v>107.013217</v>
      </c>
      <c r="I406" s="326">
        <v>99.34076499999999</v>
      </c>
      <c r="J406" s="368">
        <v>99.368927999999997</v>
      </c>
      <c r="K406" s="379">
        <v>114.95200000000001</v>
      </c>
      <c r="L406" s="380">
        <v>113.15306566000001</v>
      </c>
      <c r="M406" s="352">
        <f>M407+M420</f>
        <v>132.76400000000001</v>
      </c>
      <c r="N406" s="352">
        <f>N407+N420</f>
        <v>133.054</v>
      </c>
      <c r="O406" s="352">
        <f>O407</f>
        <v>110.947</v>
      </c>
      <c r="P406" s="352">
        <f>P413</f>
        <v>143.50700000000001</v>
      </c>
      <c r="Q406" s="352">
        <f>Q413</f>
        <v>149.38999999999999</v>
      </c>
      <c r="R406" s="352">
        <f>R413</f>
        <v>155.51599999999999</v>
      </c>
      <c r="S406" s="326">
        <f t="shared" ref="S406:S407" si="113">I406+K406+M406+O406+G406</f>
        <v>552.17476500000009</v>
      </c>
      <c r="T406" s="352"/>
    </row>
    <row r="407" spans="1:20" x14ac:dyDescent="0.25">
      <c r="A407" s="289" t="s">
        <v>213</v>
      </c>
      <c r="B407" s="136" t="s">
        <v>1043</v>
      </c>
      <c r="C407" s="288" t="s">
        <v>748</v>
      </c>
      <c r="D407" s="355">
        <v>64.02</v>
      </c>
      <c r="E407" s="306">
        <v>63.9</v>
      </c>
      <c r="F407" s="305">
        <v>69.680000000000007</v>
      </c>
      <c r="G407" s="305">
        <v>94.17</v>
      </c>
      <c r="H407" s="305">
        <f>H413</f>
        <v>99.098699999999994</v>
      </c>
      <c r="I407" s="326">
        <v>99.3</v>
      </c>
      <c r="J407" s="368">
        <v>99.328000000000003</v>
      </c>
      <c r="K407" s="379">
        <v>113.15</v>
      </c>
      <c r="L407" s="380">
        <v>113.15</v>
      </c>
      <c r="M407" s="357">
        <f t="shared" ref="M407:R407" si="114">M413</f>
        <v>125.384</v>
      </c>
      <c r="N407" s="352">
        <f t="shared" si="114"/>
        <v>125.38</v>
      </c>
      <c r="O407" s="352">
        <f t="shared" si="114"/>
        <v>110.947</v>
      </c>
      <c r="P407" s="352">
        <f t="shared" si="114"/>
        <v>143.50700000000001</v>
      </c>
      <c r="Q407" s="352">
        <f t="shared" si="114"/>
        <v>149.38999999999999</v>
      </c>
      <c r="R407" s="352">
        <f t="shared" si="114"/>
        <v>155.51599999999999</v>
      </c>
      <c r="S407" s="326">
        <f t="shared" si="113"/>
        <v>542.95100000000002</v>
      </c>
      <c r="T407" s="352"/>
    </row>
    <row r="408" spans="1:20" x14ac:dyDescent="0.25">
      <c r="A408" s="289" t="s">
        <v>597</v>
      </c>
      <c r="B408" s="270" t="s">
        <v>744</v>
      </c>
      <c r="C408" s="288" t="s">
        <v>748</v>
      </c>
      <c r="D408" s="288" t="s">
        <v>286</v>
      </c>
      <c r="E408" s="288" t="s">
        <v>286</v>
      </c>
      <c r="F408" s="288" t="s">
        <v>286</v>
      </c>
      <c r="G408" s="288" t="s">
        <v>286</v>
      </c>
      <c r="H408" s="288" t="s">
        <v>286</v>
      </c>
      <c r="I408" s="288" t="s">
        <v>286</v>
      </c>
      <c r="J408" s="288" t="s">
        <v>286</v>
      </c>
      <c r="K408" s="288" t="s">
        <v>286</v>
      </c>
      <c r="L408" s="288" t="s">
        <v>286</v>
      </c>
      <c r="M408" s="288" t="s">
        <v>286</v>
      </c>
      <c r="N408" s="288" t="s">
        <v>286</v>
      </c>
      <c r="O408" s="288" t="s">
        <v>286</v>
      </c>
      <c r="P408" s="288" t="s">
        <v>286</v>
      </c>
      <c r="Q408" s="288" t="s">
        <v>286</v>
      </c>
      <c r="R408" s="288" t="s">
        <v>286</v>
      </c>
      <c r="S408" s="288" t="s">
        <v>286</v>
      </c>
      <c r="T408" s="288" t="s">
        <v>286</v>
      </c>
    </row>
    <row r="409" spans="1:20" ht="31.5" x14ac:dyDescent="0.25">
      <c r="A409" s="289" t="s">
        <v>917</v>
      </c>
      <c r="B409" s="270" t="s">
        <v>897</v>
      </c>
      <c r="C409" s="288" t="s">
        <v>748</v>
      </c>
      <c r="D409" s="288" t="s">
        <v>286</v>
      </c>
      <c r="E409" s="288" t="s">
        <v>286</v>
      </c>
      <c r="F409" s="288" t="s">
        <v>286</v>
      </c>
      <c r="G409" s="288" t="s">
        <v>286</v>
      </c>
      <c r="H409" s="288" t="s">
        <v>286</v>
      </c>
      <c r="I409" s="288" t="s">
        <v>286</v>
      </c>
      <c r="J409" s="288" t="s">
        <v>286</v>
      </c>
      <c r="K409" s="288" t="s">
        <v>286</v>
      </c>
      <c r="L409" s="288" t="s">
        <v>286</v>
      </c>
      <c r="M409" s="288" t="s">
        <v>286</v>
      </c>
      <c r="N409" s="288" t="s">
        <v>286</v>
      </c>
      <c r="O409" s="288" t="s">
        <v>286</v>
      </c>
      <c r="P409" s="288" t="s">
        <v>286</v>
      </c>
      <c r="Q409" s="288" t="s">
        <v>286</v>
      </c>
      <c r="R409" s="288" t="s">
        <v>286</v>
      </c>
      <c r="S409" s="288" t="s">
        <v>286</v>
      </c>
      <c r="T409" s="288" t="s">
        <v>286</v>
      </c>
    </row>
    <row r="410" spans="1:20" ht="31.5" x14ac:dyDescent="0.25">
      <c r="A410" s="289" t="s">
        <v>918</v>
      </c>
      <c r="B410" s="270" t="s">
        <v>898</v>
      </c>
      <c r="C410" s="288" t="s">
        <v>748</v>
      </c>
      <c r="D410" s="288" t="s">
        <v>286</v>
      </c>
      <c r="E410" s="288" t="s">
        <v>286</v>
      </c>
      <c r="F410" s="288" t="s">
        <v>286</v>
      </c>
      <c r="G410" s="288" t="s">
        <v>286</v>
      </c>
      <c r="H410" s="288" t="s">
        <v>286</v>
      </c>
      <c r="I410" s="288" t="s">
        <v>286</v>
      </c>
      <c r="J410" s="288" t="s">
        <v>286</v>
      </c>
      <c r="K410" s="288" t="s">
        <v>286</v>
      </c>
      <c r="L410" s="288" t="s">
        <v>286</v>
      </c>
      <c r="M410" s="288" t="s">
        <v>286</v>
      </c>
      <c r="N410" s="288" t="s">
        <v>286</v>
      </c>
      <c r="O410" s="288" t="s">
        <v>286</v>
      </c>
      <c r="P410" s="288" t="s">
        <v>286</v>
      </c>
      <c r="Q410" s="288" t="s">
        <v>286</v>
      </c>
      <c r="R410" s="288" t="s">
        <v>286</v>
      </c>
      <c r="S410" s="288" t="s">
        <v>286</v>
      </c>
      <c r="T410" s="288" t="s">
        <v>286</v>
      </c>
    </row>
    <row r="411" spans="1:20" ht="31.5" x14ac:dyDescent="0.25">
      <c r="A411" s="289" t="s">
        <v>969</v>
      </c>
      <c r="B411" s="270" t="s">
        <v>883</v>
      </c>
      <c r="C411" s="288" t="s">
        <v>748</v>
      </c>
      <c r="D411" s="288" t="s">
        <v>286</v>
      </c>
      <c r="E411" s="288" t="s">
        <v>286</v>
      </c>
      <c r="F411" s="288" t="s">
        <v>286</v>
      </c>
      <c r="G411" s="288" t="s">
        <v>286</v>
      </c>
      <c r="H411" s="288" t="s">
        <v>286</v>
      </c>
      <c r="I411" s="288" t="s">
        <v>286</v>
      </c>
      <c r="J411" s="288" t="s">
        <v>286</v>
      </c>
      <c r="K411" s="288" t="s">
        <v>286</v>
      </c>
      <c r="L411" s="288" t="s">
        <v>286</v>
      </c>
      <c r="M411" s="288" t="s">
        <v>286</v>
      </c>
      <c r="N411" s="288" t="s">
        <v>286</v>
      </c>
      <c r="O411" s="288" t="s">
        <v>286</v>
      </c>
      <c r="P411" s="288" t="s">
        <v>286</v>
      </c>
      <c r="Q411" s="288" t="s">
        <v>286</v>
      </c>
      <c r="R411" s="288" t="s">
        <v>286</v>
      </c>
      <c r="S411" s="288" t="s">
        <v>286</v>
      </c>
      <c r="T411" s="288" t="s">
        <v>286</v>
      </c>
    </row>
    <row r="412" spans="1:20" x14ac:dyDescent="0.25">
      <c r="A412" s="289" t="s">
        <v>598</v>
      </c>
      <c r="B412" s="270" t="s">
        <v>1055</v>
      </c>
      <c r="C412" s="288" t="s">
        <v>748</v>
      </c>
      <c r="D412" s="288" t="s">
        <v>286</v>
      </c>
      <c r="E412" s="288" t="s">
        <v>286</v>
      </c>
      <c r="F412" s="288" t="s">
        <v>286</v>
      </c>
      <c r="G412" s="288" t="s">
        <v>286</v>
      </c>
      <c r="H412" s="288" t="s">
        <v>286</v>
      </c>
      <c r="I412" s="288" t="s">
        <v>286</v>
      </c>
      <c r="J412" s="288" t="s">
        <v>286</v>
      </c>
      <c r="K412" s="288" t="s">
        <v>286</v>
      </c>
      <c r="L412" s="288" t="s">
        <v>286</v>
      </c>
      <c r="M412" s="288" t="s">
        <v>286</v>
      </c>
      <c r="N412" s="288" t="s">
        <v>286</v>
      </c>
      <c r="O412" s="288" t="s">
        <v>286</v>
      </c>
      <c r="P412" s="288" t="s">
        <v>286</v>
      </c>
      <c r="Q412" s="288" t="s">
        <v>286</v>
      </c>
      <c r="R412" s="288" t="s">
        <v>286</v>
      </c>
      <c r="S412" s="288" t="s">
        <v>286</v>
      </c>
      <c r="T412" s="288" t="s">
        <v>286</v>
      </c>
    </row>
    <row r="413" spans="1:20" x14ac:dyDescent="0.25">
      <c r="A413" s="289" t="s">
        <v>599</v>
      </c>
      <c r="B413" s="270" t="s">
        <v>745</v>
      </c>
      <c r="C413" s="288" t="s">
        <v>748</v>
      </c>
      <c r="D413" s="355">
        <v>64.02</v>
      </c>
      <c r="E413" s="306">
        <v>63.9</v>
      </c>
      <c r="F413" s="305">
        <v>69.680000000000007</v>
      </c>
      <c r="G413" s="305">
        <v>94.17</v>
      </c>
      <c r="H413" s="330">
        <v>99.098699999999994</v>
      </c>
      <c r="I413" s="326">
        <v>99.3</v>
      </c>
      <c r="J413" s="330">
        <v>99.368927999999997</v>
      </c>
      <c r="K413" s="375">
        <f>K407</f>
        <v>113.15</v>
      </c>
      <c r="L413" s="374">
        <v>113.15</v>
      </c>
      <c r="M413" s="352">
        <v>125.384</v>
      </c>
      <c r="N413" s="352">
        <v>125.38</v>
      </c>
      <c r="O413" s="352">
        <v>110.947</v>
      </c>
      <c r="P413" s="352">
        <v>143.50700000000001</v>
      </c>
      <c r="Q413" s="352">
        <v>149.38999999999999</v>
      </c>
      <c r="R413" s="352">
        <v>155.51599999999999</v>
      </c>
      <c r="S413" s="326">
        <f>I413+K413+M413+O413+G413</f>
        <v>542.95100000000002</v>
      </c>
      <c r="T413" s="352"/>
    </row>
    <row r="414" spans="1:20" x14ac:dyDescent="0.25">
      <c r="A414" s="289" t="s">
        <v>600</v>
      </c>
      <c r="B414" s="270" t="s">
        <v>1049</v>
      </c>
      <c r="C414" s="288" t="s">
        <v>748</v>
      </c>
      <c r="D414" s="288" t="s">
        <v>286</v>
      </c>
      <c r="E414" s="288" t="s">
        <v>286</v>
      </c>
      <c r="F414" s="288" t="s">
        <v>286</v>
      </c>
      <c r="G414" s="288" t="s">
        <v>286</v>
      </c>
      <c r="H414" s="288" t="s">
        <v>286</v>
      </c>
      <c r="I414" s="288" t="s">
        <v>286</v>
      </c>
      <c r="J414" s="288" t="s">
        <v>286</v>
      </c>
      <c r="K414" s="288" t="s">
        <v>286</v>
      </c>
      <c r="L414" s="288" t="s">
        <v>286</v>
      </c>
      <c r="M414" s="288" t="s">
        <v>286</v>
      </c>
      <c r="N414" s="288" t="s">
        <v>286</v>
      </c>
      <c r="O414" s="288" t="s">
        <v>286</v>
      </c>
      <c r="P414" s="288" t="s">
        <v>286</v>
      </c>
      <c r="Q414" s="288" t="s">
        <v>286</v>
      </c>
      <c r="R414" s="288" t="s">
        <v>286</v>
      </c>
      <c r="S414" s="288" t="s">
        <v>286</v>
      </c>
      <c r="T414" s="288" t="s">
        <v>286</v>
      </c>
    </row>
    <row r="415" spans="1:20" x14ac:dyDescent="0.25">
      <c r="A415" s="289" t="s">
        <v>601</v>
      </c>
      <c r="B415" s="270" t="s">
        <v>747</v>
      </c>
      <c r="C415" s="288" t="s">
        <v>748</v>
      </c>
      <c r="D415" s="288" t="s">
        <v>286</v>
      </c>
      <c r="E415" s="288" t="s">
        <v>286</v>
      </c>
      <c r="F415" s="288" t="s">
        <v>286</v>
      </c>
      <c r="G415" s="288" t="s">
        <v>286</v>
      </c>
      <c r="H415" s="288" t="s">
        <v>286</v>
      </c>
      <c r="I415" s="288" t="s">
        <v>286</v>
      </c>
      <c r="J415" s="288" t="s">
        <v>286</v>
      </c>
      <c r="K415" s="288" t="s">
        <v>286</v>
      </c>
      <c r="L415" s="288" t="s">
        <v>286</v>
      </c>
      <c r="M415" s="288" t="s">
        <v>286</v>
      </c>
      <c r="N415" s="288" t="s">
        <v>286</v>
      </c>
      <c r="O415" s="288" t="s">
        <v>286</v>
      </c>
      <c r="P415" s="288" t="s">
        <v>286</v>
      </c>
      <c r="Q415" s="288" t="s">
        <v>286</v>
      </c>
      <c r="R415" s="288" t="s">
        <v>286</v>
      </c>
      <c r="S415" s="288" t="s">
        <v>286</v>
      </c>
      <c r="T415" s="288" t="s">
        <v>286</v>
      </c>
    </row>
    <row r="416" spans="1:20" x14ac:dyDescent="0.25">
      <c r="A416" s="289" t="s">
        <v>602</v>
      </c>
      <c r="B416" s="270" t="s">
        <v>1056</v>
      </c>
      <c r="C416" s="288" t="s">
        <v>748</v>
      </c>
      <c r="D416" s="288" t="s">
        <v>286</v>
      </c>
      <c r="E416" s="288" t="s">
        <v>286</v>
      </c>
      <c r="F416" s="288" t="s">
        <v>286</v>
      </c>
      <c r="G416" s="288" t="s">
        <v>286</v>
      </c>
      <c r="H416" s="288" t="s">
        <v>286</v>
      </c>
      <c r="I416" s="288" t="s">
        <v>286</v>
      </c>
      <c r="J416" s="288" t="s">
        <v>286</v>
      </c>
      <c r="K416" s="288" t="s">
        <v>286</v>
      </c>
      <c r="L416" s="288" t="s">
        <v>286</v>
      </c>
      <c r="M416" s="288" t="s">
        <v>286</v>
      </c>
      <c r="N416" s="288" t="s">
        <v>286</v>
      </c>
      <c r="O416" s="288" t="s">
        <v>286</v>
      </c>
      <c r="P416" s="288" t="s">
        <v>286</v>
      </c>
      <c r="Q416" s="288" t="s">
        <v>286</v>
      </c>
      <c r="R416" s="288" t="s">
        <v>286</v>
      </c>
      <c r="S416" s="288" t="s">
        <v>286</v>
      </c>
      <c r="T416" s="288" t="s">
        <v>286</v>
      </c>
    </row>
    <row r="417" spans="1:20" ht="31.5" x14ac:dyDescent="0.25">
      <c r="A417" s="289" t="s">
        <v>617</v>
      </c>
      <c r="B417" s="270" t="s">
        <v>1032</v>
      </c>
      <c r="C417" s="288" t="s">
        <v>748</v>
      </c>
      <c r="D417" s="288" t="s">
        <v>286</v>
      </c>
      <c r="E417" s="288" t="s">
        <v>286</v>
      </c>
      <c r="F417" s="288" t="s">
        <v>286</v>
      </c>
      <c r="G417" s="288" t="s">
        <v>286</v>
      </c>
      <c r="H417" s="288" t="s">
        <v>286</v>
      </c>
      <c r="I417" s="288" t="s">
        <v>286</v>
      </c>
      <c r="J417" s="288" t="s">
        <v>286</v>
      </c>
      <c r="K417" s="288" t="s">
        <v>286</v>
      </c>
      <c r="L417" s="288" t="s">
        <v>286</v>
      </c>
      <c r="M417" s="288" t="s">
        <v>286</v>
      </c>
      <c r="N417" s="288" t="s">
        <v>286</v>
      </c>
      <c r="O417" s="288" t="s">
        <v>286</v>
      </c>
      <c r="P417" s="288" t="s">
        <v>286</v>
      </c>
      <c r="Q417" s="288" t="s">
        <v>286</v>
      </c>
      <c r="R417" s="288" t="s">
        <v>286</v>
      </c>
      <c r="S417" s="288" t="s">
        <v>286</v>
      </c>
      <c r="T417" s="288" t="s">
        <v>286</v>
      </c>
    </row>
    <row r="418" spans="1:20" x14ac:dyDescent="0.25">
      <c r="A418" s="289" t="s">
        <v>970</v>
      </c>
      <c r="B418" s="271" t="s">
        <v>643</v>
      </c>
      <c r="C418" s="288" t="s">
        <v>748</v>
      </c>
      <c r="D418" s="288" t="s">
        <v>286</v>
      </c>
      <c r="E418" s="288" t="s">
        <v>286</v>
      </c>
      <c r="F418" s="288" t="s">
        <v>286</v>
      </c>
      <c r="G418" s="288" t="s">
        <v>286</v>
      </c>
      <c r="H418" s="288" t="s">
        <v>286</v>
      </c>
      <c r="I418" s="288" t="s">
        <v>286</v>
      </c>
      <c r="J418" s="288" t="s">
        <v>286</v>
      </c>
      <c r="K418" s="288" t="s">
        <v>286</v>
      </c>
      <c r="L418" s="288" t="s">
        <v>286</v>
      </c>
      <c r="M418" s="288" t="s">
        <v>286</v>
      </c>
      <c r="N418" s="288" t="s">
        <v>286</v>
      </c>
      <c r="O418" s="288" t="s">
        <v>286</v>
      </c>
      <c r="P418" s="288" t="s">
        <v>286</v>
      </c>
      <c r="Q418" s="288" t="s">
        <v>286</v>
      </c>
      <c r="R418" s="288" t="s">
        <v>286</v>
      </c>
      <c r="S418" s="288" t="s">
        <v>286</v>
      </c>
      <c r="T418" s="288" t="s">
        <v>286</v>
      </c>
    </row>
    <row r="419" spans="1:20" x14ac:dyDescent="0.25">
      <c r="A419" s="289" t="s">
        <v>971</v>
      </c>
      <c r="B419" s="278" t="s">
        <v>631</v>
      </c>
      <c r="C419" s="288" t="s">
        <v>748</v>
      </c>
      <c r="D419" s="288" t="s">
        <v>286</v>
      </c>
      <c r="E419" s="288" t="s">
        <v>286</v>
      </c>
      <c r="F419" s="288" t="s">
        <v>286</v>
      </c>
      <c r="G419" s="288" t="s">
        <v>286</v>
      </c>
      <c r="H419" s="288" t="s">
        <v>286</v>
      </c>
      <c r="I419" s="288" t="s">
        <v>286</v>
      </c>
      <c r="J419" s="288" t="s">
        <v>286</v>
      </c>
      <c r="K419" s="288" t="s">
        <v>286</v>
      </c>
      <c r="L419" s="288" t="s">
        <v>286</v>
      </c>
      <c r="M419" s="288" t="s">
        <v>286</v>
      </c>
      <c r="N419" s="288" t="s">
        <v>286</v>
      </c>
      <c r="O419" s="288" t="s">
        <v>286</v>
      </c>
      <c r="P419" s="288" t="s">
        <v>286</v>
      </c>
      <c r="Q419" s="288" t="s">
        <v>286</v>
      </c>
      <c r="R419" s="288" t="s">
        <v>286</v>
      </c>
      <c r="S419" s="288" t="s">
        <v>286</v>
      </c>
      <c r="T419" s="288" t="s">
        <v>286</v>
      </c>
    </row>
    <row r="420" spans="1:20" x14ac:dyDescent="0.25">
      <c r="A420" s="289" t="s">
        <v>214</v>
      </c>
      <c r="B420" s="136" t="s">
        <v>1001</v>
      </c>
      <c r="C420" s="288" t="s">
        <v>748</v>
      </c>
      <c r="D420" s="305"/>
      <c r="E420" s="305"/>
      <c r="F420" s="306"/>
      <c r="G420" s="384">
        <v>0</v>
      </c>
      <c r="H420" s="330">
        <f>7.675+0.239517</f>
        <v>7.914517</v>
      </c>
      <c r="I420" s="326">
        <v>4.0765000000000003E-2</v>
      </c>
      <c r="J420" s="330">
        <v>4.0927999999999999E-2</v>
      </c>
      <c r="K420" s="377">
        <v>1.802</v>
      </c>
      <c r="L420" s="383">
        <v>3.06566E-3</v>
      </c>
      <c r="M420" s="352">
        <v>7.38</v>
      </c>
      <c r="N420" s="352">
        <f>7.376+0.298</f>
        <v>7.6740000000000004</v>
      </c>
      <c r="O420" s="352"/>
      <c r="P420" s="352"/>
      <c r="Q420" s="352"/>
      <c r="R420" s="352"/>
      <c r="S420" s="326">
        <f>G420+I420+K420+O420+M420</f>
        <v>9.222764999999999</v>
      </c>
      <c r="T420" s="352"/>
    </row>
    <row r="421" spans="1:20" x14ac:dyDescent="0.25">
      <c r="A421" s="289" t="s">
        <v>216</v>
      </c>
      <c r="B421" s="136" t="s">
        <v>789</v>
      </c>
      <c r="C421" s="288" t="s">
        <v>748</v>
      </c>
      <c r="D421" s="288" t="s">
        <v>286</v>
      </c>
      <c r="E421" s="288" t="s">
        <v>286</v>
      </c>
      <c r="F421" s="288" t="s">
        <v>286</v>
      </c>
      <c r="G421" s="288" t="s">
        <v>286</v>
      </c>
      <c r="H421" s="288" t="s">
        <v>286</v>
      </c>
      <c r="I421" s="288" t="s">
        <v>286</v>
      </c>
      <c r="J421" s="288" t="s">
        <v>286</v>
      </c>
      <c r="K421" s="288" t="s">
        <v>286</v>
      </c>
      <c r="L421" s="288" t="s">
        <v>286</v>
      </c>
      <c r="M421" s="288" t="s">
        <v>286</v>
      </c>
      <c r="N421" s="288" t="s">
        <v>286</v>
      </c>
      <c r="O421" s="288" t="s">
        <v>286</v>
      </c>
      <c r="P421" s="288" t="s">
        <v>286</v>
      </c>
      <c r="Q421" s="288" t="s">
        <v>286</v>
      </c>
      <c r="R421" s="288" t="s">
        <v>286</v>
      </c>
      <c r="S421" s="288" t="s">
        <v>286</v>
      </c>
      <c r="T421" s="288" t="s">
        <v>286</v>
      </c>
    </row>
    <row r="422" spans="1:20" x14ac:dyDescent="0.25">
      <c r="A422" s="289" t="s">
        <v>621</v>
      </c>
      <c r="B422" s="270" t="s">
        <v>744</v>
      </c>
      <c r="C422" s="288" t="s">
        <v>748</v>
      </c>
      <c r="D422" s="288" t="s">
        <v>286</v>
      </c>
      <c r="E422" s="288" t="s">
        <v>286</v>
      </c>
      <c r="F422" s="288" t="s">
        <v>286</v>
      </c>
      <c r="G422" s="288" t="s">
        <v>286</v>
      </c>
      <c r="H422" s="288" t="s">
        <v>286</v>
      </c>
      <c r="I422" s="288" t="s">
        <v>286</v>
      </c>
      <c r="J422" s="288" t="s">
        <v>286</v>
      </c>
      <c r="K422" s="288" t="s">
        <v>286</v>
      </c>
      <c r="L422" s="288" t="s">
        <v>286</v>
      </c>
      <c r="M422" s="288" t="s">
        <v>286</v>
      </c>
      <c r="N422" s="288" t="s">
        <v>286</v>
      </c>
      <c r="O422" s="288" t="s">
        <v>286</v>
      </c>
      <c r="P422" s="288" t="s">
        <v>286</v>
      </c>
      <c r="Q422" s="288" t="s">
        <v>286</v>
      </c>
      <c r="R422" s="288" t="s">
        <v>286</v>
      </c>
      <c r="S422" s="288" t="s">
        <v>286</v>
      </c>
      <c r="T422" s="288" t="s">
        <v>286</v>
      </c>
    </row>
    <row r="423" spans="1:20" ht="31.5" x14ac:dyDescent="0.25">
      <c r="A423" s="289" t="s">
        <v>919</v>
      </c>
      <c r="B423" s="270" t="s">
        <v>897</v>
      </c>
      <c r="C423" s="288" t="s">
        <v>748</v>
      </c>
      <c r="D423" s="288" t="s">
        <v>286</v>
      </c>
      <c r="E423" s="288" t="s">
        <v>286</v>
      </c>
      <c r="F423" s="288" t="s">
        <v>286</v>
      </c>
      <c r="G423" s="288" t="s">
        <v>286</v>
      </c>
      <c r="H423" s="288" t="s">
        <v>286</v>
      </c>
      <c r="I423" s="288" t="s">
        <v>286</v>
      </c>
      <c r="J423" s="288" t="s">
        <v>286</v>
      </c>
      <c r="K423" s="288" t="s">
        <v>286</v>
      </c>
      <c r="L423" s="288" t="s">
        <v>286</v>
      </c>
      <c r="M423" s="288" t="s">
        <v>286</v>
      </c>
      <c r="N423" s="288" t="s">
        <v>286</v>
      </c>
      <c r="O423" s="288" t="s">
        <v>286</v>
      </c>
      <c r="P423" s="288" t="s">
        <v>286</v>
      </c>
      <c r="Q423" s="288" t="s">
        <v>286</v>
      </c>
      <c r="R423" s="288" t="s">
        <v>286</v>
      </c>
      <c r="S423" s="288" t="s">
        <v>286</v>
      </c>
      <c r="T423" s="288" t="s">
        <v>286</v>
      </c>
    </row>
    <row r="424" spans="1:20" ht="31.5" x14ac:dyDescent="0.25">
      <c r="A424" s="289" t="s">
        <v>920</v>
      </c>
      <c r="B424" s="270" t="s">
        <v>898</v>
      </c>
      <c r="C424" s="288" t="s">
        <v>748</v>
      </c>
      <c r="D424" s="288" t="s">
        <v>286</v>
      </c>
      <c r="E424" s="288" t="s">
        <v>286</v>
      </c>
      <c r="F424" s="288" t="s">
        <v>286</v>
      </c>
      <c r="G424" s="288" t="s">
        <v>286</v>
      </c>
      <c r="H424" s="288" t="s">
        <v>286</v>
      </c>
      <c r="I424" s="288" t="s">
        <v>286</v>
      </c>
      <c r="J424" s="288" t="s">
        <v>286</v>
      </c>
      <c r="K424" s="288" t="s">
        <v>286</v>
      </c>
      <c r="L424" s="288" t="s">
        <v>286</v>
      </c>
      <c r="M424" s="288" t="s">
        <v>286</v>
      </c>
      <c r="N424" s="288" t="s">
        <v>286</v>
      </c>
      <c r="O424" s="288" t="s">
        <v>286</v>
      </c>
      <c r="P424" s="288" t="s">
        <v>286</v>
      </c>
      <c r="Q424" s="288" t="s">
        <v>286</v>
      </c>
      <c r="R424" s="288" t="s">
        <v>286</v>
      </c>
      <c r="S424" s="288" t="s">
        <v>286</v>
      </c>
      <c r="T424" s="288" t="s">
        <v>286</v>
      </c>
    </row>
    <row r="425" spans="1:20" ht="31.5" x14ac:dyDescent="0.25">
      <c r="A425" s="289" t="s">
        <v>1089</v>
      </c>
      <c r="B425" s="270" t="s">
        <v>883</v>
      </c>
      <c r="C425" s="288" t="s">
        <v>748</v>
      </c>
      <c r="D425" s="288" t="s">
        <v>286</v>
      </c>
      <c r="E425" s="288" t="s">
        <v>286</v>
      </c>
      <c r="F425" s="288" t="s">
        <v>286</v>
      </c>
      <c r="G425" s="288" t="s">
        <v>286</v>
      </c>
      <c r="H425" s="288" t="s">
        <v>286</v>
      </c>
      <c r="I425" s="288" t="s">
        <v>286</v>
      </c>
      <c r="J425" s="288" t="s">
        <v>286</v>
      </c>
      <c r="K425" s="288" t="s">
        <v>286</v>
      </c>
      <c r="L425" s="288" t="s">
        <v>286</v>
      </c>
      <c r="M425" s="288" t="s">
        <v>286</v>
      </c>
      <c r="N425" s="288" t="s">
        <v>286</v>
      </c>
      <c r="O425" s="288" t="s">
        <v>286</v>
      </c>
      <c r="P425" s="288" t="s">
        <v>286</v>
      </c>
      <c r="Q425" s="288" t="s">
        <v>286</v>
      </c>
      <c r="R425" s="288" t="s">
        <v>286</v>
      </c>
      <c r="S425" s="288" t="s">
        <v>286</v>
      </c>
      <c r="T425" s="288" t="s">
        <v>286</v>
      </c>
    </row>
    <row r="426" spans="1:20" x14ac:dyDescent="0.25">
      <c r="A426" s="289" t="s">
        <v>622</v>
      </c>
      <c r="B426" s="270" t="s">
        <v>1055</v>
      </c>
      <c r="C426" s="288" t="s">
        <v>748</v>
      </c>
      <c r="D426" s="288" t="s">
        <v>286</v>
      </c>
      <c r="E426" s="288" t="s">
        <v>286</v>
      </c>
      <c r="F426" s="288" t="s">
        <v>286</v>
      </c>
      <c r="G426" s="288" t="s">
        <v>286</v>
      </c>
      <c r="H426" s="288" t="s">
        <v>286</v>
      </c>
      <c r="I426" s="288" t="s">
        <v>286</v>
      </c>
      <c r="J426" s="288" t="s">
        <v>286</v>
      </c>
      <c r="K426" s="288" t="s">
        <v>286</v>
      </c>
      <c r="L426" s="288" t="s">
        <v>286</v>
      </c>
      <c r="M426" s="288" t="s">
        <v>286</v>
      </c>
      <c r="N426" s="288" t="s">
        <v>286</v>
      </c>
      <c r="O426" s="288" t="s">
        <v>286</v>
      </c>
      <c r="P426" s="288" t="s">
        <v>286</v>
      </c>
      <c r="Q426" s="288" t="s">
        <v>286</v>
      </c>
      <c r="R426" s="288" t="s">
        <v>286</v>
      </c>
      <c r="S426" s="288" t="s">
        <v>286</v>
      </c>
      <c r="T426" s="288" t="s">
        <v>286</v>
      </c>
    </row>
    <row r="427" spans="1:20" x14ac:dyDescent="0.25">
      <c r="A427" s="289" t="s">
        <v>623</v>
      </c>
      <c r="B427" s="270" t="s">
        <v>745</v>
      </c>
      <c r="C427" s="288" t="s">
        <v>748</v>
      </c>
      <c r="D427" s="288" t="s">
        <v>286</v>
      </c>
      <c r="E427" s="288" t="s">
        <v>286</v>
      </c>
      <c r="F427" s="288" t="s">
        <v>286</v>
      </c>
      <c r="G427" s="288" t="s">
        <v>286</v>
      </c>
      <c r="H427" s="288" t="s">
        <v>286</v>
      </c>
      <c r="I427" s="288" t="s">
        <v>286</v>
      </c>
      <c r="J427" s="288" t="s">
        <v>286</v>
      </c>
      <c r="K427" s="288" t="s">
        <v>286</v>
      </c>
      <c r="L427" s="288" t="s">
        <v>286</v>
      </c>
      <c r="M427" s="288" t="s">
        <v>286</v>
      </c>
      <c r="N427" s="288" t="s">
        <v>286</v>
      </c>
      <c r="O427" s="288" t="s">
        <v>286</v>
      </c>
      <c r="P427" s="288" t="s">
        <v>286</v>
      </c>
      <c r="Q427" s="288" t="s">
        <v>286</v>
      </c>
      <c r="R427" s="288" t="s">
        <v>286</v>
      </c>
      <c r="S427" s="288" t="s">
        <v>286</v>
      </c>
      <c r="T427" s="288" t="s">
        <v>286</v>
      </c>
    </row>
    <row r="428" spans="1:20" x14ac:dyDescent="0.25">
      <c r="A428" s="289" t="s">
        <v>624</v>
      </c>
      <c r="B428" s="270" t="s">
        <v>1049</v>
      </c>
      <c r="C428" s="288" t="s">
        <v>748</v>
      </c>
      <c r="D428" s="288" t="s">
        <v>286</v>
      </c>
      <c r="E428" s="288" t="s">
        <v>286</v>
      </c>
      <c r="F428" s="288" t="s">
        <v>286</v>
      </c>
      <c r="G428" s="288" t="s">
        <v>286</v>
      </c>
      <c r="H428" s="288" t="s">
        <v>286</v>
      </c>
      <c r="I428" s="288" t="s">
        <v>286</v>
      </c>
      <c r="J428" s="288" t="s">
        <v>286</v>
      </c>
      <c r="K428" s="288" t="s">
        <v>286</v>
      </c>
      <c r="L428" s="288" t="s">
        <v>286</v>
      </c>
      <c r="M428" s="288" t="s">
        <v>286</v>
      </c>
      <c r="N428" s="288" t="s">
        <v>286</v>
      </c>
      <c r="O428" s="288" t="s">
        <v>286</v>
      </c>
      <c r="P428" s="288" t="s">
        <v>286</v>
      </c>
      <c r="Q428" s="288" t="s">
        <v>286</v>
      </c>
      <c r="R428" s="288" t="s">
        <v>286</v>
      </c>
      <c r="S428" s="288" t="s">
        <v>286</v>
      </c>
      <c r="T428" s="288" t="s">
        <v>286</v>
      </c>
    </row>
    <row r="429" spans="1:20" x14ac:dyDescent="0.25">
      <c r="A429" s="289" t="s">
        <v>625</v>
      </c>
      <c r="B429" s="270" t="s">
        <v>747</v>
      </c>
      <c r="C429" s="288" t="s">
        <v>748</v>
      </c>
      <c r="D429" s="288" t="s">
        <v>286</v>
      </c>
      <c r="E429" s="288" t="s">
        <v>286</v>
      </c>
      <c r="F429" s="288" t="s">
        <v>286</v>
      </c>
      <c r="G429" s="288" t="s">
        <v>286</v>
      </c>
      <c r="H429" s="288" t="s">
        <v>286</v>
      </c>
      <c r="I429" s="288" t="s">
        <v>286</v>
      </c>
      <c r="J429" s="288" t="s">
        <v>286</v>
      </c>
      <c r="K429" s="288" t="s">
        <v>286</v>
      </c>
      <c r="L429" s="288" t="s">
        <v>286</v>
      </c>
      <c r="M429" s="288" t="s">
        <v>286</v>
      </c>
      <c r="N429" s="288" t="s">
        <v>286</v>
      </c>
      <c r="O429" s="288" t="s">
        <v>286</v>
      </c>
      <c r="P429" s="288" t="s">
        <v>286</v>
      </c>
      <c r="Q429" s="288" t="s">
        <v>286</v>
      </c>
      <c r="R429" s="288" t="s">
        <v>286</v>
      </c>
      <c r="S429" s="288" t="s">
        <v>286</v>
      </c>
      <c r="T429" s="288" t="s">
        <v>286</v>
      </c>
    </row>
    <row r="430" spans="1:20" x14ac:dyDescent="0.25">
      <c r="A430" s="289" t="s">
        <v>626</v>
      </c>
      <c r="B430" s="270" t="s">
        <v>1056</v>
      </c>
      <c r="C430" s="288" t="s">
        <v>748</v>
      </c>
      <c r="D430" s="288" t="s">
        <v>286</v>
      </c>
      <c r="E430" s="288" t="s">
        <v>286</v>
      </c>
      <c r="F430" s="288" t="s">
        <v>286</v>
      </c>
      <c r="G430" s="288" t="s">
        <v>286</v>
      </c>
      <c r="H430" s="288" t="s">
        <v>286</v>
      </c>
      <c r="I430" s="288" t="s">
        <v>286</v>
      </c>
      <c r="J430" s="288" t="s">
        <v>286</v>
      </c>
      <c r="K430" s="288" t="s">
        <v>286</v>
      </c>
      <c r="L430" s="288" t="s">
        <v>286</v>
      </c>
      <c r="M430" s="288" t="s">
        <v>286</v>
      </c>
      <c r="N430" s="288" t="s">
        <v>286</v>
      </c>
      <c r="O430" s="288" t="s">
        <v>286</v>
      </c>
      <c r="P430" s="288" t="s">
        <v>286</v>
      </c>
      <c r="Q430" s="288" t="s">
        <v>286</v>
      </c>
      <c r="R430" s="288" t="s">
        <v>286</v>
      </c>
      <c r="S430" s="288" t="s">
        <v>286</v>
      </c>
      <c r="T430" s="288" t="s">
        <v>286</v>
      </c>
    </row>
    <row r="431" spans="1:20" ht="31.5" x14ac:dyDescent="0.25">
      <c r="A431" s="289" t="s">
        <v>627</v>
      </c>
      <c r="B431" s="270" t="s">
        <v>1032</v>
      </c>
      <c r="C431" s="288" t="s">
        <v>748</v>
      </c>
      <c r="D431" s="288" t="s">
        <v>286</v>
      </c>
      <c r="E431" s="288" t="s">
        <v>286</v>
      </c>
      <c r="F431" s="288" t="s">
        <v>286</v>
      </c>
      <c r="G431" s="288" t="s">
        <v>286</v>
      </c>
      <c r="H431" s="288" t="s">
        <v>286</v>
      </c>
      <c r="I431" s="288" t="s">
        <v>286</v>
      </c>
      <c r="J431" s="288" t="s">
        <v>286</v>
      </c>
      <c r="K431" s="288" t="s">
        <v>286</v>
      </c>
      <c r="L431" s="288" t="s">
        <v>286</v>
      </c>
      <c r="M431" s="288" t="s">
        <v>286</v>
      </c>
      <c r="N431" s="288" t="s">
        <v>286</v>
      </c>
      <c r="O431" s="288" t="s">
        <v>286</v>
      </c>
      <c r="P431" s="288" t="s">
        <v>286</v>
      </c>
      <c r="Q431" s="288" t="s">
        <v>286</v>
      </c>
      <c r="R431" s="288" t="s">
        <v>286</v>
      </c>
      <c r="S431" s="288" t="s">
        <v>286</v>
      </c>
      <c r="T431" s="288" t="s">
        <v>286</v>
      </c>
    </row>
    <row r="432" spans="1:20" x14ac:dyDescent="0.25">
      <c r="A432" s="289" t="s">
        <v>972</v>
      </c>
      <c r="B432" s="278" t="s">
        <v>643</v>
      </c>
      <c r="C432" s="288" t="s">
        <v>748</v>
      </c>
      <c r="D432" s="288" t="s">
        <v>286</v>
      </c>
      <c r="E432" s="288" t="s">
        <v>286</v>
      </c>
      <c r="F432" s="288" t="s">
        <v>286</v>
      </c>
      <c r="G432" s="288" t="s">
        <v>286</v>
      </c>
      <c r="H432" s="288" t="s">
        <v>286</v>
      </c>
      <c r="I432" s="288" t="s">
        <v>286</v>
      </c>
      <c r="J432" s="288" t="s">
        <v>286</v>
      </c>
      <c r="K432" s="288" t="s">
        <v>286</v>
      </c>
      <c r="L432" s="288" t="s">
        <v>286</v>
      </c>
      <c r="M432" s="288" t="s">
        <v>286</v>
      </c>
      <c r="N432" s="288" t="s">
        <v>286</v>
      </c>
      <c r="O432" s="288" t="s">
        <v>286</v>
      </c>
      <c r="P432" s="288" t="s">
        <v>286</v>
      </c>
      <c r="Q432" s="288" t="s">
        <v>286</v>
      </c>
      <c r="R432" s="288" t="s">
        <v>286</v>
      </c>
      <c r="S432" s="288" t="s">
        <v>286</v>
      </c>
      <c r="T432" s="288" t="s">
        <v>286</v>
      </c>
    </row>
    <row r="433" spans="1:20" x14ac:dyDescent="0.25">
      <c r="A433" s="289" t="s">
        <v>973</v>
      </c>
      <c r="B433" s="278" t="s">
        <v>631</v>
      </c>
      <c r="C433" s="288" t="s">
        <v>748</v>
      </c>
      <c r="D433" s="288" t="s">
        <v>286</v>
      </c>
      <c r="E433" s="288" t="s">
        <v>286</v>
      </c>
      <c r="F433" s="288" t="s">
        <v>286</v>
      </c>
      <c r="G433" s="288" t="s">
        <v>286</v>
      </c>
      <c r="H433" s="288" t="s">
        <v>286</v>
      </c>
      <c r="I433" s="288" t="s">
        <v>286</v>
      </c>
      <c r="J433" s="288" t="s">
        <v>286</v>
      </c>
      <c r="K433" s="288" t="s">
        <v>286</v>
      </c>
      <c r="L433" s="288" t="s">
        <v>286</v>
      </c>
      <c r="M433" s="288" t="s">
        <v>286</v>
      </c>
      <c r="N433" s="288" t="s">
        <v>286</v>
      </c>
      <c r="O433" s="288" t="s">
        <v>286</v>
      </c>
      <c r="P433" s="288" t="s">
        <v>286</v>
      </c>
      <c r="Q433" s="288" t="s">
        <v>286</v>
      </c>
      <c r="R433" s="288" t="s">
        <v>286</v>
      </c>
      <c r="S433" s="288" t="s">
        <v>286</v>
      </c>
      <c r="T433" s="288" t="s">
        <v>286</v>
      </c>
    </row>
    <row r="434" spans="1:20" x14ac:dyDescent="0.25">
      <c r="A434" s="289" t="s">
        <v>21</v>
      </c>
      <c r="B434" s="269" t="s">
        <v>1127</v>
      </c>
      <c r="C434" s="288" t="s">
        <v>748</v>
      </c>
      <c r="D434" s="341">
        <v>20.05</v>
      </c>
      <c r="E434" s="306">
        <v>20.67</v>
      </c>
      <c r="F434" s="305">
        <v>22.18</v>
      </c>
      <c r="G434" s="305">
        <v>28.811599999999999</v>
      </c>
      <c r="H434" s="305">
        <v>41.677833400000004</v>
      </c>
      <c r="I434" s="326">
        <v>62.651153000000001</v>
      </c>
      <c r="J434" s="326">
        <v>54.98</v>
      </c>
      <c r="K434" s="375">
        <f>(K382+K406)*0.2</f>
        <v>57.681400000000011</v>
      </c>
      <c r="L434" s="375">
        <v>51.323</v>
      </c>
      <c r="M434" s="357">
        <f>(M382+M406)*0.2</f>
        <v>42.158600000000007</v>
      </c>
      <c r="N434" s="357">
        <v>45.122</v>
      </c>
      <c r="O434" s="357">
        <f>(O382+O406)*0.2</f>
        <v>24.779200000000003</v>
      </c>
      <c r="P434" s="352">
        <v>59.331000000000003</v>
      </c>
      <c r="Q434" s="357">
        <f>(Q382+Q406)*0.2</f>
        <v>50.122999999999998</v>
      </c>
      <c r="R434" s="357">
        <f>(R382+R406)*0.2</f>
        <v>43.456000000000003</v>
      </c>
      <c r="S434" s="326">
        <f>I434+K434+M434+O434+G434</f>
        <v>216.08195300000003</v>
      </c>
      <c r="T434" s="352"/>
    </row>
    <row r="435" spans="1:20" x14ac:dyDescent="0.25">
      <c r="A435" s="289" t="s">
        <v>37</v>
      </c>
      <c r="B435" s="269" t="s">
        <v>325</v>
      </c>
      <c r="C435" s="288" t="s">
        <v>748</v>
      </c>
      <c r="D435" s="288" t="s">
        <v>286</v>
      </c>
      <c r="E435" s="288" t="s">
        <v>286</v>
      </c>
      <c r="F435" s="288" t="s">
        <v>286</v>
      </c>
      <c r="G435" s="288" t="s">
        <v>286</v>
      </c>
      <c r="H435" s="288" t="s">
        <v>286</v>
      </c>
      <c r="I435" s="288" t="s">
        <v>286</v>
      </c>
      <c r="J435" s="288" t="s">
        <v>286</v>
      </c>
      <c r="K435" s="288" t="s">
        <v>286</v>
      </c>
      <c r="L435" s="288" t="s">
        <v>286</v>
      </c>
      <c r="M435" s="288" t="s">
        <v>286</v>
      </c>
      <c r="N435" s="288" t="s">
        <v>286</v>
      </c>
      <c r="O435" s="288" t="s">
        <v>286</v>
      </c>
      <c r="P435" s="288" t="s">
        <v>286</v>
      </c>
      <c r="Q435" s="288" t="s">
        <v>286</v>
      </c>
      <c r="R435" s="288" t="s">
        <v>286</v>
      </c>
      <c r="S435" s="288" t="s">
        <v>286</v>
      </c>
      <c r="T435" s="288" t="s">
        <v>286</v>
      </c>
    </row>
    <row r="436" spans="1:20" x14ac:dyDescent="0.25">
      <c r="A436" s="289" t="s">
        <v>71</v>
      </c>
      <c r="B436" s="286" t="s">
        <v>909</v>
      </c>
      <c r="C436" s="288" t="s">
        <v>748</v>
      </c>
      <c r="D436" s="288" t="s">
        <v>286</v>
      </c>
      <c r="E436" s="288" t="s">
        <v>286</v>
      </c>
      <c r="F436" s="288" t="s">
        <v>286</v>
      </c>
      <c r="G436" s="288" t="s">
        <v>286</v>
      </c>
      <c r="H436" s="288" t="s">
        <v>286</v>
      </c>
      <c r="I436" s="288" t="s">
        <v>286</v>
      </c>
      <c r="J436" s="288" t="s">
        <v>286</v>
      </c>
      <c r="K436" s="288" t="s">
        <v>286</v>
      </c>
      <c r="L436" s="288" t="s">
        <v>286</v>
      </c>
      <c r="M436" s="288" t="s">
        <v>286</v>
      </c>
      <c r="N436" s="288" t="s">
        <v>286</v>
      </c>
      <c r="O436" s="288" t="s">
        <v>286</v>
      </c>
      <c r="P436" s="288" t="s">
        <v>286</v>
      </c>
      <c r="Q436" s="288" t="s">
        <v>286</v>
      </c>
      <c r="R436" s="288" t="s">
        <v>286</v>
      </c>
      <c r="S436" s="288" t="s">
        <v>286</v>
      </c>
      <c r="T436" s="288" t="s">
        <v>286</v>
      </c>
    </row>
    <row r="437" spans="1:20" x14ac:dyDescent="0.25">
      <c r="A437" s="289" t="s">
        <v>618</v>
      </c>
      <c r="B437" s="286" t="s">
        <v>619</v>
      </c>
      <c r="C437" s="288" t="s">
        <v>748</v>
      </c>
      <c r="D437" s="288" t="s">
        <v>286</v>
      </c>
      <c r="E437" s="288" t="s">
        <v>286</v>
      </c>
      <c r="F437" s="288" t="s">
        <v>286</v>
      </c>
      <c r="G437" s="288" t="s">
        <v>286</v>
      </c>
      <c r="H437" s="288" t="s">
        <v>286</v>
      </c>
      <c r="I437" s="288" t="s">
        <v>286</v>
      </c>
      <c r="J437" s="288" t="s">
        <v>286</v>
      </c>
      <c r="K437" s="288" t="s">
        <v>286</v>
      </c>
      <c r="L437" s="288" t="s">
        <v>286</v>
      </c>
      <c r="M437" s="288" t="s">
        <v>286</v>
      </c>
      <c r="N437" s="288" t="s">
        <v>286</v>
      </c>
      <c r="O437" s="288" t="s">
        <v>286</v>
      </c>
      <c r="P437" s="288" t="s">
        <v>286</v>
      </c>
      <c r="Q437" s="288" t="s">
        <v>286</v>
      </c>
      <c r="R437" s="288" t="s">
        <v>286</v>
      </c>
      <c r="S437" s="288" t="s">
        <v>286</v>
      </c>
      <c r="T437" s="288" t="s">
        <v>286</v>
      </c>
    </row>
    <row r="438" spans="1:20" s="284" customFormat="1" ht="18" customHeight="1" x14ac:dyDescent="0.25">
      <c r="A438" s="289" t="s">
        <v>1110</v>
      </c>
      <c r="B438" s="286" t="s">
        <v>1128</v>
      </c>
      <c r="C438" s="288" t="s">
        <v>748</v>
      </c>
      <c r="D438" s="288" t="s">
        <v>286</v>
      </c>
      <c r="E438" s="288" t="s">
        <v>286</v>
      </c>
      <c r="F438" s="288" t="s">
        <v>286</v>
      </c>
      <c r="G438" s="288" t="s">
        <v>286</v>
      </c>
      <c r="H438" s="288" t="s">
        <v>286</v>
      </c>
      <c r="I438" s="288" t="s">
        <v>286</v>
      </c>
      <c r="J438" s="288" t="s">
        <v>286</v>
      </c>
      <c r="K438" s="288" t="s">
        <v>286</v>
      </c>
      <c r="L438" s="288" t="s">
        <v>286</v>
      </c>
      <c r="M438" s="288" t="s">
        <v>286</v>
      </c>
      <c r="N438" s="288" t="s">
        <v>286</v>
      </c>
      <c r="O438" s="288" t="s">
        <v>286</v>
      </c>
      <c r="P438" s="288" t="s">
        <v>286</v>
      </c>
      <c r="Q438" s="288" t="s">
        <v>286</v>
      </c>
      <c r="R438" s="288" t="s">
        <v>286</v>
      </c>
      <c r="S438" s="288" t="s">
        <v>286</v>
      </c>
      <c r="T438" s="288" t="s">
        <v>286</v>
      </c>
    </row>
    <row r="439" spans="1:20" s="284" customFormat="1" x14ac:dyDescent="0.25">
      <c r="A439" s="289" t="s">
        <v>1111</v>
      </c>
      <c r="B439" s="286" t="s">
        <v>1112</v>
      </c>
      <c r="C439" s="288" t="s">
        <v>748</v>
      </c>
      <c r="D439" s="288" t="s">
        <v>286</v>
      </c>
      <c r="E439" s="288" t="s">
        <v>286</v>
      </c>
      <c r="F439" s="288" t="s">
        <v>286</v>
      </c>
      <c r="G439" s="288" t="s">
        <v>286</v>
      </c>
      <c r="H439" s="288" t="s">
        <v>286</v>
      </c>
      <c r="I439" s="288" t="s">
        <v>286</v>
      </c>
      <c r="J439" s="288" t="s">
        <v>286</v>
      </c>
      <c r="K439" s="288" t="s">
        <v>286</v>
      </c>
      <c r="L439" s="288" t="s">
        <v>286</v>
      </c>
      <c r="M439" s="288" t="s">
        <v>286</v>
      </c>
      <c r="N439" s="288" t="s">
        <v>286</v>
      </c>
      <c r="O439" s="288" t="s">
        <v>286</v>
      </c>
      <c r="P439" s="288" t="s">
        <v>286</v>
      </c>
      <c r="Q439" s="288" t="s">
        <v>286</v>
      </c>
      <c r="R439" s="288" t="s">
        <v>286</v>
      </c>
      <c r="S439" s="288" t="s">
        <v>286</v>
      </c>
      <c r="T439" s="288" t="s">
        <v>286</v>
      </c>
    </row>
    <row r="440" spans="1:20" x14ac:dyDescent="0.25">
      <c r="A440" s="289" t="s">
        <v>19</v>
      </c>
      <c r="B440" s="123" t="s">
        <v>221</v>
      </c>
      <c r="C440" s="288" t="s">
        <v>748</v>
      </c>
      <c r="D440" s="305"/>
      <c r="E440" s="305"/>
      <c r="F440" s="306"/>
      <c r="G440" s="305">
        <f>G450</f>
        <v>5.2229999999999999</v>
      </c>
      <c r="H440" s="305">
        <f>H450</f>
        <v>5.2293599999999998</v>
      </c>
      <c r="I440" s="352">
        <v>8.5535999999999994</v>
      </c>
      <c r="J440" s="352">
        <v>8.5535999999999994</v>
      </c>
      <c r="K440" s="375">
        <v>0</v>
      </c>
      <c r="L440" s="374">
        <v>0</v>
      </c>
      <c r="M440" s="352">
        <v>0</v>
      </c>
      <c r="N440" s="352">
        <v>0</v>
      </c>
      <c r="O440" s="352">
        <f>O450</f>
        <v>8.0844000000000005</v>
      </c>
      <c r="P440" s="352">
        <v>0</v>
      </c>
      <c r="Q440" s="352">
        <v>0</v>
      </c>
      <c r="R440" s="352">
        <v>0</v>
      </c>
      <c r="S440" s="326">
        <f>I440+K440+M440+O440+G440</f>
        <v>21.860999999999997</v>
      </c>
      <c r="T440" s="352"/>
    </row>
    <row r="441" spans="1:20" x14ac:dyDescent="0.25">
      <c r="A441" s="289" t="s">
        <v>23</v>
      </c>
      <c r="B441" s="269" t="s">
        <v>222</v>
      </c>
      <c r="C441" s="288" t="s">
        <v>748</v>
      </c>
      <c r="D441" s="288" t="s">
        <v>286</v>
      </c>
      <c r="E441" s="288" t="s">
        <v>286</v>
      </c>
      <c r="F441" s="288" t="s">
        <v>286</v>
      </c>
      <c r="G441" s="288" t="s">
        <v>286</v>
      </c>
      <c r="H441" s="288" t="s">
        <v>286</v>
      </c>
      <c r="I441" s="288" t="s">
        <v>286</v>
      </c>
      <c r="J441" s="288" t="s">
        <v>286</v>
      </c>
      <c r="K441" s="288" t="s">
        <v>286</v>
      </c>
      <c r="L441" s="288" t="s">
        <v>286</v>
      </c>
      <c r="M441" s="288" t="s">
        <v>286</v>
      </c>
      <c r="N441" s="288" t="s">
        <v>286</v>
      </c>
      <c r="O441" s="288" t="s">
        <v>286</v>
      </c>
      <c r="P441" s="288" t="s">
        <v>286</v>
      </c>
      <c r="Q441" s="288" t="s">
        <v>286</v>
      </c>
      <c r="R441" s="288" t="s">
        <v>286</v>
      </c>
      <c r="S441" s="288" t="s">
        <v>286</v>
      </c>
      <c r="T441" s="288" t="s">
        <v>286</v>
      </c>
    </row>
    <row r="442" spans="1:20" x14ac:dyDescent="0.25">
      <c r="A442" s="289" t="s">
        <v>24</v>
      </c>
      <c r="B442" s="269" t="s">
        <v>223</v>
      </c>
      <c r="C442" s="288" t="s">
        <v>748</v>
      </c>
      <c r="D442" s="288" t="s">
        <v>286</v>
      </c>
      <c r="E442" s="288" t="s">
        <v>286</v>
      </c>
      <c r="F442" s="288" t="s">
        <v>286</v>
      </c>
      <c r="G442" s="288" t="s">
        <v>286</v>
      </c>
      <c r="H442" s="288" t="s">
        <v>286</v>
      </c>
      <c r="I442" s="288" t="s">
        <v>286</v>
      </c>
      <c r="J442" s="288" t="s">
        <v>286</v>
      </c>
      <c r="K442" s="288" t="s">
        <v>286</v>
      </c>
      <c r="L442" s="288" t="s">
        <v>286</v>
      </c>
      <c r="M442" s="288" t="s">
        <v>286</v>
      </c>
      <c r="N442" s="288" t="s">
        <v>286</v>
      </c>
      <c r="O442" s="288" t="s">
        <v>286</v>
      </c>
      <c r="P442" s="288" t="s">
        <v>286</v>
      </c>
      <c r="Q442" s="288" t="s">
        <v>286</v>
      </c>
      <c r="R442" s="288" t="s">
        <v>286</v>
      </c>
      <c r="S442" s="288" t="s">
        <v>286</v>
      </c>
      <c r="T442" s="288" t="s">
        <v>286</v>
      </c>
    </row>
    <row r="443" spans="1:20" x14ac:dyDescent="0.25">
      <c r="A443" s="289" t="s">
        <v>30</v>
      </c>
      <c r="B443" s="269" t="s">
        <v>1139</v>
      </c>
      <c r="C443" s="288" t="s">
        <v>748</v>
      </c>
      <c r="D443" s="288" t="s">
        <v>286</v>
      </c>
      <c r="E443" s="288" t="s">
        <v>286</v>
      </c>
      <c r="F443" s="288" t="s">
        <v>286</v>
      </c>
      <c r="G443" s="288" t="s">
        <v>286</v>
      </c>
      <c r="H443" s="288" t="s">
        <v>286</v>
      </c>
      <c r="I443" s="288" t="s">
        <v>286</v>
      </c>
      <c r="J443" s="288" t="s">
        <v>286</v>
      </c>
      <c r="K443" s="288" t="s">
        <v>286</v>
      </c>
      <c r="L443" s="288" t="s">
        <v>286</v>
      </c>
      <c r="M443" s="288" t="s">
        <v>286</v>
      </c>
      <c r="N443" s="288" t="s">
        <v>286</v>
      </c>
      <c r="O443" s="288" t="s">
        <v>286</v>
      </c>
      <c r="P443" s="288" t="s">
        <v>286</v>
      </c>
      <c r="Q443" s="288" t="s">
        <v>286</v>
      </c>
      <c r="R443" s="288" t="s">
        <v>286</v>
      </c>
      <c r="S443" s="288" t="s">
        <v>286</v>
      </c>
      <c r="T443" s="288" t="s">
        <v>286</v>
      </c>
    </row>
    <row r="444" spans="1:20" x14ac:dyDescent="0.25">
      <c r="A444" s="289" t="s">
        <v>38</v>
      </c>
      <c r="B444" s="269" t="s">
        <v>224</v>
      </c>
      <c r="C444" s="288" t="s">
        <v>748</v>
      </c>
      <c r="D444" s="288" t="s">
        <v>286</v>
      </c>
      <c r="E444" s="288" t="s">
        <v>286</v>
      </c>
      <c r="F444" s="288" t="s">
        <v>286</v>
      </c>
      <c r="G444" s="288" t="s">
        <v>286</v>
      </c>
      <c r="H444" s="288" t="s">
        <v>286</v>
      </c>
      <c r="I444" s="288" t="s">
        <v>286</v>
      </c>
      <c r="J444" s="288" t="s">
        <v>286</v>
      </c>
      <c r="K444" s="288" t="s">
        <v>286</v>
      </c>
      <c r="L444" s="288" t="s">
        <v>286</v>
      </c>
      <c r="M444" s="288" t="s">
        <v>286</v>
      </c>
      <c r="N444" s="288" t="s">
        <v>286</v>
      </c>
      <c r="O444" s="288" t="s">
        <v>286</v>
      </c>
      <c r="P444" s="288" t="s">
        <v>286</v>
      </c>
      <c r="Q444" s="288" t="s">
        <v>286</v>
      </c>
      <c r="R444" s="288" t="s">
        <v>286</v>
      </c>
      <c r="S444" s="288" t="s">
        <v>286</v>
      </c>
      <c r="T444" s="288" t="s">
        <v>286</v>
      </c>
    </row>
    <row r="445" spans="1:20" x14ac:dyDescent="0.25">
      <c r="A445" s="289" t="s">
        <v>39</v>
      </c>
      <c r="B445" s="269" t="s">
        <v>225</v>
      </c>
      <c r="C445" s="288" t="s">
        <v>748</v>
      </c>
      <c r="D445" s="288" t="s">
        <v>286</v>
      </c>
      <c r="E445" s="288" t="s">
        <v>286</v>
      </c>
      <c r="F445" s="288" t="s">
        <v>286</v>
      </c>
      <c r="G445" s="288" t="s">
        <v>286</v>
      </c>
      <c r="H445" s="288" t="s">
        <v>286</v>
      </c>
      <c r="I445" s="288" t="s">
        <v>286</v>
      </c>
      <c r="J445" s="288" t="s">
        <v>286</v>
      </c>
      <c r="K445" s="288" t="s">
        <v>286</v>
      </c>
      <c r="L445" s="288" t="s">
        <v>286</v>
      </c>
      <c r="M445" s="288" t="s">
        <v>286</v>
      </c>
      <c r="N445" s="288" t="s">
        <v>286</v>
      </c>
      <c r="O445" s="288" t="s">
        <v>286</v>
      </c>
      <c r="P445" s="288" t="s">
        <v>286</v>
      </c>
      <c r="Q445" s="288" t="s">
        <v>286</v>
      </c>
      <c r="R445" s="288" t="s">
        <v>286</v>
      </c>
      <c r="S445" s="288" t="s">
        <v>286</v>
      </c>
      <c r="T445" s="288" t="s">
        <v>286</v>
      </c>
    </row>
    <row r="446" spans="1:20" x14ac:dyDescent="0.25">
      <c r="A446" s="289" t="s">
        <v>113</v>
      </c>
      <c r="B446" s="136" t="s">
        <v>620</v>
      </c>
      <c r="C446" s="288" t="s">
        <v>748</v>
      </c>
      <c r="D446" s="288" t="s">
        <v>286</v>
      </c>
      <c r="E446" s="288" t="s">
        <v>286</v>
      </c>
      <c r="F446" s="288" t="s">
        <v>286</v>
      </c>
      <c r="G446" s="288" t="s">
        <v>286</v>
      </c>
      <c r="H446" s="288" t="s">
        <v>286</v>
      </c>
      <c r="I446" s="288" t="s">
        <v>286</v>
      </c>
      <c r="J446" s="288" t="s">
        <v>286</v>
      </c>
      <c r="K446" s="288" t="s">
        <v>286</v>
      </c>
      <c r="L446" s="288" t="s">
        <v>286</v>
      </c>
      <c r="M446" s="288" t="s">
        <v>286</v>
      </c>
      <c r="N446" s="288" t="s">
        <v>286</v>
      </c>
      <c r="O446" s="288" t="s">
        <v>286</v>
      </c>
      <c r="P446" s="288" t="s">
        <v>286</v>
      </c>
      <c r="Q446" s="288" t="s">
        <v>286</v>
      </c>
      <c r="R446" s="288" t="s">
        <v>286</v>
      </c>
      <c r="S446" s="288" t="s">
        <v>286</v>
      </c>
      <c r="T446" s="288" t="s">
        <v>286</v>
      </c>
    </row>
    <row r="447" spans="1:20" ht="31.5" x14ac:dyDescent="0.25">
      <c r="A447" s="289" t="s">
        <v>739</v>
      </c>
      <c r="B447" s="270" t="s">
        <v>731</v>
      </c>
      <c r="C447" s="288" t="s">
        <v>748</v>
      </c>
      <c r="D447" s="288" t="s">
        <v>286</v>
      </c>
      <c r="E447" s="288" t="s">
        <v>286</v>
      </c>
      <c r="F447" s="288" t="s">
        <v>286</v>
      </c>
      <c r="G447" s="288" t="s">
        <v>286</v>
      </c>
      <c r="H447" s="288" t="s">
        <v>286</v>
      </c>
      <c r="I447" s="288" t="s">
        <v>286</v>
      </c>
      <c r="J447" s="288" t="s">
        <v>286</v>
      </c>
      <c r="K447" s="288" t="s">
        <v>286</v>
      </c>
      <c r="L447" s="288" t="s">
        <v>286</v>
      </c>
      <c r="M447" s="288" t="s">
        <v>286</v>
      </c>
      <c r="N447" s="288" t="s">
        <v>286</v>
      </c>
      <c r="O447" s="288" t="s">
        <v>286</v>
      </c>
      <c r="P447" s="288" t="s">
        <v>286</v>
      </c>
      <c r="Q447" s="288" t="s">
        <v>286</v>
      </c>
      <c r="R447" s="288" t="s">
        <v>286</v>
      </c>
      <c r="S447" s="288" t="s">
        <v>286</v>
      </c>
      <c r="T447" s="288" t="s">
        <v>286</v>
      </c>
    </row>
    <row r="448" spans="1:20" x14ac:dyDescent="0.25">
      <c r="A448" s="289" t="s">
        <v>793</v>
      </c>
      <c r="B448" s="136" t="s">
        <v>738</v>
      </c>
      <c r="C448" s="288" t="s">
        <v>748</v>
      </c>
      <c r="D448" s="288" t="s">
        <v>286</v>
      </c>
      <c r="E448" s="288" t="s">
        <v>286</v>
      </c>
      <c r="F448" s="288" t="s">
        <v>286</v>
      </c>
      <c r="G448" s="288" t="s">
        <v>286</v>
      </c>
      <c r="H448" s="288" t="s">
        <v>286</v>
      </c>
      <c r="I448" s="288" t="s">
        <v>286</v>
      </c>
      <c r="J448" s="288" t="s">
        <v>286</v>
      </c>
      <c r="K448" s="288" t="s">
        <v>286</v>
      </c>
      <c r="L448" s="288" t="s">
        <v>286</v>
      </c>
      <c r="M448" s="288" t="s">
        <v>286</v>
      </c>
      <c r="N448" s="288" t="s">
        <v>286</v>
      </c>
      <c r="O448" s="288" t="s">
        <v>286</v>
      </c>
      <c r="P448" s="288" t="s">
        <v>286</v>
      </c>
      <c r="Q448" s="288" t="s">
        <v>286</v>
      </c>
      <c r="R448" s="288" t="s">
        <v>286</v>
      </c>
      <c r="S448" s="288" t="s">
        <v>286</v>
      </c>
      <c r="T448" s="288" t="s">
        <v>286</v>
      </c>
    </row>
    <row r="449" spans="1:20" ht="31.5" x14ac:dyDescent="0.25">
      <c r="A449" s="289" t="s">
        <v>794</v>
      </c>
      <c r="B449" s="270" t="s">
        <v>740</v>
      </c>
      <c r="C449" s="288" t="s">
        <v>748</v>
      </c>
      <c r="D449" s="288" t="s">
        <v>286</v>
      </c>
      <c r="E449" s="288" t="s">
        <v>286</v>
      </c>
      <c r="F449" s="288" t="s">
        <v>286</v>
      </c>
      <c r="G449" s="288" t="s">
        <v>286</v>
      </c>
      <c r="H449" s="288" t="s">
        <v>286</v>
      </c>
      <c r="I449" s="288" t="s">
        <v>286</v>
      </c>
      <c r="J449" s="288" t="s">
        <v>286</v>
      </c>
      <c r="K449" s="288" t="s">
        <v>286</v>
      </c>
      <c r="L449" s="288" t="s">
        <v>286</v>
      </c>
      <c r="M449" s="288" t="s">
        <v>286</v>
      </c>
      <c r="N449" s="288" t="s">
        <v>286</v>
      </c>
      <c r="O449" s="288" t="s">
        <v>286</v>
      </c>
      <c r="P449" s="288" t="s">
        <v>286</v>
      </c>
      <c r="Q449" s="288" t="s">
        <v>286</v>
      </c>
      <c r="R449" s="288" t="s">
        <v>286</v>
      </c>
      <c r="S449" s="288" t="s">
        <v>286</v>
      </c>
      <c r="T449" s="288" t="s">
        <v>286</v>
      </c>
    </row>
    <row r="450" spans="1:20" x14ac:dyDescent="0.25">
      <c r="A450" s="289" t="s">
        <v>40</v>
      </c>
      <c r="B450" s="269" t="s">
        <v>231</v>
      </c>
      <c r="C450" s="288" t="s">
        <v>748</v>
      </c>
      <c r="D450" s="305"/>
      <c r="E450" s="305"/>
      <c r="F450" s="306"/>
      <c r="G450" s="305">
        <v>5.2229999999999999</v>
      </c>
      <c r="H450" s="305">
        <f>4.3578*1.2</f>
        <v>5.2293599999999998</v>
      </c>
      <c r="I450" s="352">
        <v>8.5535999999999994</v>
      </c>
      <c r="J450" s="352">
        <v>8.5535999999999994</v>
      </c>
      <c r="K450" s="374">
        <v>0</v>
      </c>
      <c r="L450" s="374">
        <v>0</v>
      </c>
      <c r="M450" s="352">
        <v>0</v>
      </c>
      <c r="N450" s="352">
        <v>0</v>
      </c>
      <c r="O450" s="352">
        <f>6.737*1.2</f>
        <v>8.0844000000000005</v>
      </c>
      <c r="P450" s="352">
        <v>0</v>
      </c>
      <c r="Q450" s="352">
        <v>0</v>
      </c>
      <c r="R450" s="352">
        <v>0</v>
      </c>
      <c r="S450" s="326">
        <f>I450+K450+M450+O450+G450</f>
        <v>21.860999999999997</v>
      </c>
      <c r="T450" s="288" t="s">
        <v>286</v>
      </c>
    </row>
    <row r="451" spans="1:20" x14ac:dyDescent="0.25">
      <c r="A451" s="289" t="s">
        <v>41</v>
      </c>
      <c r="B451" s="269" t="s">
        <v>232</v>
      </c>
      <c r="C451" s="288" t="s">
        <v>748</v>
      </c>
      <c r="D451" s="288" t="s">
        <v>286</v>
      </c>
      <c r="E451" s="288" t="s">
        <v>286</v>
      </c>
      <c r="F451" s="288" t="s">
        <v>286</v>
      </c>
      <c r="G451" s="288" t="s">
        <v>286</v>
      </c>
      <c r="H451" s="288" t="s">
        <v>286</v>
      </c>
      <c r="I451" s="288" t="s">
        <v>286</v>
      </c>
      <c r="J451" s="288" t="s">
        <v>286</v>
      </c>
      <c r="K451" s="288" t="s">
        <v>286</v>
      </c>
      <c r="L451" s="288" t="s">
        <v>286</v>
      </c>
      <c r="M451" s="288" t="s">
        <v>286</v>
      </c>
      <c r="N451" s="288" t="s">
        <v>286</v>
      </c>
      <c r="O451" s="288" t="s">
        <v>286</v>
      </c>
      <c r="P451" s="288" t="s">
        <v>286</v>
      </c>
      <c r="Q451" s="288" t="s">
        <v>286</v>
      </c>
      <c r="R451" s="288" t="s">
        <v>286</v>
      </c>
      <c r="S451" s="288" t="s">
        <v>286</v>
      </c>
      <c r="T451" s="288" t="s">
        <v>286</v>
      </c>
    </row>
    <row r="452" spans="1:20" s="292" customFormat="1" x14ac:dyDescent="0.25">
      <c r="A452" s="298" t="s">
        <v>26</v>
      </c>
      <c r="B452" s="299" t="s">
        <v>863</v>
      </c>
      <c r="C452" s="353" t="s">
        <v>286</v>
      </c>
      <c r="D452" s="353"/>
      <c r="E452" s="302" t="s">
        <v>590</v>
      </c>
      <c r="F452" s="302" t="s">
        <v>590</v>
      </c>
      <c r="G452" s="302" t="s">
        <v>590</v>
      </c>
      <c r="H452" s="302" t="s">
        <v>590</v>
      </c>
      <c r="I452" s="302" t="s">
        <v>590</v>
      </c>
      <c r="J452" s="302" t="s">
        <v>590</v>
      </c>
      <c r="K452" s="302" t="s">
        <v>590</v>
      </c>
      <c r="L452" s="302" t="s">
        <v>590</v>
      </c>
      <c r="M452" s="302" t="s">
        <v>590</v>
      </c>
      <c r="N452" s="302" t="s">
        <v>590</v>
      </c>
      <c r="O452" s="302" t="s">
        <v>590</v>
      </c>
      <c r="P452" s="302" t="s">
        <v>590</v>
      </c>
      <c r="Q452" s="302" t="s">
        <v>590</v>
      </c>
      <c r="R452" s="302" t="s">
        <v>590</v>
      </c>
      <c r="S452" s="302" t="s">
        <v>590</v>
      </c>
      <c r="T452" s="302" t="s">
        <v>590</v>
      </c>
    </row>
    <row r="453" spans="1:20" s="284" customFormat="1" ht="45.75" customHeight="1" x14ac:dyDescent="0.25">
      <c r="A453" s="290" t="s">
        <v>829</v>
      </c>
      <c r="B453" s="269" t="s">
        <v>1116</v>
      </c>
      <c r="C453" s="348" t="s">
        <v>748</v>
      </c>
      <c r="D453" s="354">
        <v>47.786000000000001</v>
      </c>
      <c r="E453" s="354">
        <v>33.53</v>
      </c>
      <c r="F453" s="354">
        <v>58.68</v>
      </c>
      <c r="G453" s="354">
        <v>51.206000000000003</v>
      </c>
      <c r="H453" s="354">
        <v>76.745699999999999</v>
      </c>
      <c r="I453" s="319">
        <v>30.42</v>
      </c>
      <c r="J453" s="312">
        <v>57</v>
      </c>
      <c r="K453" s="356">
        <f>K454</f>
        <v>37.115000000000002</v>
      </c>
      <c r="L453" s="356">
        <v>61.616999999999997</v>
      </c>
      <c r="M453" s="356">
        <f>M454</f>
        <v>35.387</v>
      </c>
      <c r="N453" s="336" t="s">
        <v>286</v>
      </c>
      <c r="O453" s="336">
        <f>O454</f>
        <v>61.12</v>
      </c>
      <c r="P453" s="336" t="s">
        <v>286</v>
      </c>
      <c r="Q453" s="356">
        <f>O453*1.041</f>
        <v>63.625919999999994</v>
      </c>
      <c r="R453" s="356">
        <f>Q453*1.041</f>
        <v>66.234582719999992</v>
      </c>
      <c r="S453" s="326">
        <f t="shared" ref="S453:S454" si="115">I453+K453+M453+O453+G453</f>
        <v>215.24799999999999</v>
      </c>
      <c r="T453" s="336" t="s">
        <v>286</v>
      </c>
    </row>
    <row r="454" spans="1:20" x14ac:dyDescent="0.25">
      <c r="A454" s="290" t="s">
        <v>830</v>
      </c>
      <c r="B454" s="136" t="s">
        <v>910</v>
      </c>
      <c r="C454" s="348" t="s">
        <v>748</v>
      </c>
      <c r="D454" s="354">
        <v>47.786000000000001</v>
      </c>
      <c r="E454" s="354">
        <v>33.53</v>
      </c>
      <c r="F454" s="354">
        <v>58.68</v>
      </c>
      <c r="G454" s="354">
        <f>G453</f>
        <v>51.206000000000003</v>
      </c>
      <c r="H454" s="354">
        <v>76.745699999999999</v>
      </c>
      <c r="I454" s="319">
        <v>30.42</v>
      </c>
      <c r="J454" s="312">
        <v>57</v>
      </c>
      <c r="K454" s="356">
        <f>K456</f>
        <v>37.115000000000002</v>
      </c>
      <c r="L454" s="305">
        <v>61.616999999999997</v>
      </c>
      <c r="M454" s="356">
        <f>M456</f>
        <v>35.387</v>
      </c>
      <c r="N454" s="288" t="s">
        <v>286</v>
      </c>
      <c r="O454" s="336">
        <f>O456</f>
        <v>61.12</v>
      </c>
      <c r="P454" s="288" t="s">
        <v>286</v>
      </c>
      <c r="Q454" s="356">
        <f>O454*1.041</f>
        <v>63.625919999999994</v>
      </c>
      <c r="R454" s="356">
        <f>Q454*1.041</f>
        <v>66.234582719999992</v>
      </c>
      <c r="S454" s="326">
        <f t="shared" si="115"/>
        <v>215.24799999999999</v>
      </c>
      <c r="T454" s="288" t="s">
        <v>286</v>
      </c>
    </row>
    <row r="455" spans="1:20" ht="31.5" x14ac:dyDescent="0.25">
      <c r="A455" s="290" t="s">
        <v>1113</v>
      </c>
      <c r="B455" s="270" t="s">
        <v>879</v>
      </c>
      <c r="C455" s="348" t="s">
        <v>748</v>
      </c>
      <c r="D455" s="288" t="s">
        <v>286</v>
      </c>
      <c r="E455" s="288" t="s">
        <v>286</v>
      </c>
      <c r="F455" s="288" t="s">
        <v>286</v>
      </c>
      <c r="G455" s="288" t="s">
        <v>286</v>
      </c>
      <c r="H455" s="288" t="s">
        <v>286</v>
      </c>
      <c r="I455" s="288" t="s">
        <v>286</v>
      </c>
      <c r="J455" s="288" t="s">
        <v>286</v>
      </c>
      <c r="K455" s="288" t="s">
        <v>286</v>
      </c>
      <c r="L455" s="305" t="s">
        <v>286</v>
      </c>
      <c r="M455" s="305" t="s">
        <v>286</v>
      </c>
      <c r="N455" s="288" t="s">
        <v>286</v>
      </c>
      <c r="O455" s="288" t="s">
        <v>286</v>
      </c>
      <c r="P455" s="288" t="s">
        <v>286</v>
      </c>
      <c r="Q455" s="336" t="s">
        <v>286</v>
      </c>
      <c r="R455" s="336" t="s">
        <v>286</v>
      </c>
      <c r="S455" s="288" t="s">
        <v>286</v>
      </c>
      <c r="T455" s="288" t="s">
        <v>286</v>
      </c>
    </row>
    <row r="456" spans="1:20" s="284" customFormat="1" ht="94.5" x14ac:dyDescent="0.25">
      <c r="A456" s="290" t="s">
        <v>1114</v>
      </c>
      <c r="B456" s="270" t="s">
        <v>1140</v>
      </c>
      <c r="C456" s="348" t="s">
        <v>748</v>
      </c>
      <c r="D456" s="354">
        <v>47.786000000000001</v>
      </c>
      <c r="E456" s="354">
        <v>33.53</v>
      </c>
      <c r="F456" s="354">
        <v>58.68</v>
      </c>
      <c r="G456" s="354">
        <f>G454</f>
        <v>51.206000000000003</v>
      </c>
      <c r="H456" s="354">
        <v>76.745699999999999</v>
      </c>
      <c r="I456" s="319">
        <v>30.42</v>
      </c>
      <c r="J456" s="312">
        <v>57</v>
      </c>
      <c r="K456" s="356">
        <v>37.115000000000002</v>
      </c>
      <c r="L456" s="356">
        <v>61.616999999999997</v>
      </c>
      <c r="M456" s="356">
        <v>35.387</v>
      </c>
      <c r="N456" s="336" t="s">
        <v>286</v>
      </c>
      <c r="O456" s="336">
        <v>61.12</v>
      </c>
      <c r="P456" s="336" t="s">
        <v>286</v>
      </c>
      <c r="Q456" s="356">
        <f>O456*1.041</f>
        <v>63.625919999999994</v>
      </c>
      <c r="R456" s="356">
        <f>Q456*1.041</f>
        <v>66.234582719999992</v>
      </c>
      <c r="S456" s="319">
        <f>I456+K456+M456+O456+G456</f>
        <v>215.24799999999999</v>
      </c>
      <c r="T456" s="336" t="s">
        <v>286</v>
      </c>
    </row>
    <row r="457" spans="1:20" x14ac:dyDescent="0.25">
      <c r="A457" s="290" t="s">
        <v>832</v>
      </c>
      <c r="B457" s="270" t="s">
        <v>828</v>
      </c>
      <c r="C457" s="348" t="s">
        <v>748</v>
      </c>
      <c r="D457" s="288" t="s">
        <v>286</v>
      </c>
      <c r="E457" s="288" t="s">
        <v>286</v>
      </c>
      <c r="F457" s="288" t="s">
        <v>286</v>
      </c>
      <c r="G457" s="288" t="s">
        <v>286</v>
      </c>
      <c r="H457" s="288" t="s">
        <v>286</v>
      </c>
      <c r="I457" s="288" t="s">
        <v>286</v>
      </c>
      <c r="J457" s="288" t="s">
        <v>286</v>
      </c>
      <c r="K457" s="288" t="s">
        <v>286</v>
      </c>
      <c r="L457" s="288" t="s">
        <v>286</v>
      </c>
      <c r="M457" s="288" t="s">
        <v>286</v>
      </c>
      <c r="N457" s="288" t="s">
        <v>286</v>
      </c>
      <c r="O457" s="288" t="s">
        <v>286</v>
      </c>
      <c r="P457" s="288" t="s">
        <v>286</v>
      </c>
      <c r="Q457" s="336" t="s">
        <v>286</v>
      </c>
      <c r="R457" s="336" t="s">
        <v>286</v>
      </c>
      <c r="S457" s="288" t="s">
        <v>286</v>
      </c>
      <c r="T457" s="288" t="s">
        <v>286</v>
      </c>
    </row>
    <row r="458" spans="1:20" s="284" customFormat="1" x14ac:dyDescent="0.25">
      <c r="A458" s="290" t="s">
        <v>1119</v>
      </c>
      <c r="B458" s="136" t="s">
        <v>1115</v>
      </c>
      <c r="C458" s="348" t="s">
        <v>748</v>
      </c>
      <c r="D458" s="288" t="s">
        <v>286</v>
      </c>
      <c r="E458" s="288" t="s">
        <v>286</v>
      </c>
      <c r="F458" s="288" t="s">
        <v>286</v>
      </c>
      <c r="G458" s="288" t="s">
        <v>286</v>
      </c>
      <c r="H458" s="288" t="s">
        <v>286</v>
      </c>
      <c r="I458" s="288" t="s">
        <v>286</v>
      </c>
      <c r="J458" s="288" t="s">
        <v>286</v>
      </c>
      <c r="K458" s="288" t="s">
        <v>286</v>
      </c>
      <c r="L458" s="288" t="s">
        <v>286</v>
      </c>
      <c r="M458" s="288" t="s">
        <v>286</v>
      </c>
      <c r="N458" s="288" t="s">
        <v>286</v>
      </c>
      <c r="O458" s="288" t="s">
        <v>286</v>
      </c>
      <c r="P458" s="288" t="s">
        <v>286</v>
      </c>
      <c r="Q458" s="288" t="s">
        <v>286</v>
      </c>
      <c r="R458" s="288" t="s">
        <v>286</v>
      </c>
      <c r="S458" s="288" t="s">
        <v>286</v>
      </c>
      <c r="T458" s="288" t="s">
        <v>286</v>
      </c>
    </row>
    <row r="459" spans="1:20" s="292" customFormat="1" ht="33" customHeight="1" x14ac:dyDescent="0.25">
      <c r="A459" s="290" t="s">
        <v>46</v>
      </c>
      <c r="B459" s="269" t="s">
        <v>1144</v>
      </c>
      <c r="C459" s="359" t="s">
        <v>286</v>
      </c>
      <c r="D459" s="281" t="s">
        <v>590</v>
      </c>
      <c r="E459" s="281" t="s">
        <v>590</v>
      </c>
      <c r="F459" s="281" t="s">
        <v>590</v>
      </c>
      <c r="G459" s="281" t="s">
        <v>590</v>
      </c>
      <c r="H459" s="281" t="s">
        <v>590</v>
      </c>
      <c r="I459" s="281" t="s">
        <v>590</v>
      </c>
      <c r="J459" s="281" t="s">
        <v>590</v>
      </c>
      <c r="K459" s="281" t="s">
        <v>590</v>
      </c>
      <c r="L459" s="281" t="s">
        <v>590</v>
      </c>
      <c r="M459" s="281" t="s">
        <v>590</v>
      </c>
      <c r="N459" s="281" t="s">
        <v>590</v>
      </c>
      <c r="O459" s="281" t="s">
        <v>590</v>
      </c>
      <c r="P459" s="281" t="s">
        <v>590</v>
      </c>
      <c r="Q459" s="281" t="s">
        <v>1189</v>
      </c>
      <c r="R459" s="281" t="s">
        <v>1189</v>
      </c>
      <c r="S459" s="281" t="s">
        <v>590</v>
      </c>
      <c r="T459" s="281" t="s">
        <v>590</v>
      </c>
    </row>
    <row r="460" spans="1:20" x14ac:dyDescent="0.25">
      <c r="A460" s="290" t="s">
        <v>833</v>
      </c>
      <c r="B460" s="136" t="s">
        <v>941</v>
      </c>
      <c r="C460" s="348" t="s">
        <v>748</v>
      </c>
      <c r="D460" s="288" t="s">
        <v>286</v>
      </c>
      <c r="E460" s="288" t="s">
        <v>286</v>
      </c>
      <c r="F460" s="288" t="s">
        <v>286</v>
      </c>
      <c r="G460" s="288" t="s">
        <v>286</v>
      </c>
      <c r="H460" s="288" t="s">
        <v>286</v>
      </c>
      <c r="I460" s="288" t="s">
        <v>286</v>
      </c>
      <c r="J460" s="288" t="s">
        <v>286</v>
      </c>
      <c r="K460" s="288" t="s">
        <v>286</v>
      </c>
      <c r="L460" s="288" t="s">
        <v>286</v>
      </c>
      <c r="M460" s="288" t="s">
        <v>286</v>
      </c>
      <c r="N460" s="288" t="s">
        <v>286</v>
      </c>
      <c r="O460" s="288" t="s">
        <v>286</v>
      </c>
      <c r="P460" s="288" t="s">
        <v>286</v>
      </c>
      <c r="Q460" s="288" t="s">
        <v>286</v>
      </c>
      <c r="R460" s="288" t="s">
        <v>286</v>
      </c>
      <c r="S460" s="288" t="s">
        <v>286</v>
      </c>
      <c r="T460" s="288" t="s">
        <v>286</v>
      </c>
    </row>
    <row r="461" spans="1:20" x14ac:dyDescent="0.25">
      <c r="A461" s="290" t="s">
        <v>834</v>
      </c>
      <c r="B461" s="136" t="s">
        <v>942</v>
      </c>
      <c r="C461" s="348" t="s">
        <v>748</v>
      </c>
      <c r="D461" s="288" t="s">
        <v>286</v>
      </c>
      <c r="E461" s="288" t="s">
        <v>286</v>
      </c>
      <c r="F461" s="288" t="s">
        <v>286</v>
      </c>
      <c r="G461" s="288" t="s">
        <v>286</v>
      </c>
      <c r="H461" s="288" t="s">
        <v>286</v>
      </c>
      <c r="I461" s="288" t="s">
        <v>286</v>
      </c>
      <c r="J461" s="288" t="s">
        <v>286</v>
      </c>
      <c r="K461" s="288" t="s">
        <v>286</v>
      </c>
      <c r="L461" s="288" t="s">
        <v>286</v>
      </c>
      <c r="M461" s="288" t="s">
        <v>286</v>
      </c>
      <c r="N461" s="288" t="s">
        <v>286</v>
      </c>
      <c r="O461" s="288" t="s">
        <v>286</v>
      </c>
      <c r="P461" s="288" t="s">
        <v>286</v>
      </c>
      <c r="Q461" s="288" t="s">
        <v>286</v>
      </c>
      <c r="R461" s="288" t="s">
        <v>286</v>
      </c>
      <c r="S461" s="288" t="s">
        <v>286</v>
      </c>
      <c r="T461" s="288" t="s">
        <v>286</v>
      </c>
    </row>
    <row r="462" spans="1:20" x14ac:dyDescent="0.25">
      <c r="A462" s="290" t="s">
        <v>835</v>
      </c>
      <c r="B462" s="136" t="s">
        <v>943</v>
      </c>
      <c r="C462" s="348" t="s">
        <v>748</v>
      </c>
      <c r="D462" s="288" t="s">
        <v>286</v>
      </c>
      <c r="E462" s="288" t="s">
        <v>286</v>
      </c>
      <c r="F462" s="288" t="s">
        <v>286</v>
      </c>
      <c r="G462" s="288" t="s">
        <v>286</v>
      </c>
      <c r="H462" s="288" t="s">
        <v>286</v>
      </c>
      <c r="I462" s="288" t="s">
        <v>286</v>
      </c>
      <c r="J462" s="288" t="s">
        <v>286</v>
      </c>
      <c r="K462" s="288" t="s">
        <v>286</v>
      </c>
      <c r="L462" s="288" t="s">
        <v>286</v>
      </c>
      <c r="M462" s="288" t="s">
        <v>286</v>
      </c>
      <c r="N462" s="288" t="s">
        <v>286</v>
      </c>
      <c r="O462" s="288" t="s">
        <v>286</v>
      </c>
      <c r="P462" s="288" t="s">
        <v>286</v>
      </c>
      <c r="Q462" s="288" t="s">
        <v>286</v>
      </c>
      <c r="R462" s="288" t="s">
        <v>286</v>
      </c>
      <c r="S462" s="288" t="s">
        <v>286</v>
      </c>
      <c r="T462" s="288" t="s">
        <v>286</v>
      </c>
    </row>
    <row r="463" spans="1:20" s="284" customFormat="1" ht="47.25" x14ac:dyDescent="0.25">
      <c r="A463" s="290" t="s">
        <v>749</v>
      </c>
      <c r="B463" s="269" t="s">
        <v>1138</v>
      </c>
      <c r="C463" s="348" t="s">
        <v>748</v>
      </c>
      <c r="D463" s="288" t="s">
        <v>286</v>
      </c>
      <c r="E463" s="288" t="s">
        <v>286</v>
      </c>
      <c r="F463" s="288" t="s">
        <v>286</v>
      </c>
      <c r="G463" s="288" t="s">
        <v>286</v>
      </c>
      <c r="H463" s="288" t="s">
        <v>286</v>
      </c>
      <c r="I463" s="288" t="s">
        <v>286</v>
      </c>
      <c r="J463" s="288" t="s">
        <v>286</v>
      </c>
      <c r="K463" s="288" t="s">
        <v>286</v>
      </c>
      <c r="L463" s="288" t="s">
        <v>286</v>
      </c>
      <c r="M463" s="288" t="s">
        <v>286</v>
      </c>
      <c r="N463" s="288" t="s">
        <v>286</v>
      </c>
      <c r="O463" s="288" t="s">
        <v>286</v>
      </c>
      <c r="P463" s="288" t="s">
        <v>286</v>
      </c>
      <c r="Q463" s="288" t="s">
        <v>286</v>
      </c>
      <c r="R463" s="288" t="s">
        <v>286</v>
      </c>
      <c r="S463" s="288" t="s">
        <v>286</v>
      </c>
      <c r="T463" s="288" t="s">
        <v>286</v>
      </c>
    </row>
    <row r="465" spans="1:12" ht="18.75" x14ac:dyDescent="0.3">
      <c r="A465" s="370" t="s">
        <v>1177</v>
      </c>
      <c r="B465" s="371"/>
      <c r="C465" s="372"/>
      <c r="D465" s="372"/>
      <c r="E465" s="372"/>
      <c r="F465" s="372"/>
      <c r="G465" s="372"/>
      <c r="H465" s="373"/>
      <c r="I465" s="373"/>
      <c r="J465" s="373"/>
      <c r="K465" s="373"/>
      <c r="L465" s="373" t="s">
        <v>1178</v>
      </c>
    </row>
    <row r="467" spans="1:12" x14ac:dyDescent="0.25">
      <c r="A467" s="369" t="s">
        <v>1179</v>
      </c>
    </row>
  </sheetData>
  <autoFilter ref="A16:T463" xr:uid="{00000000-0009-0000-0000-000003000000}"/>
  <mergeCells count="31">
    <mergeCell ref="A380:B380"/>
    <mergeCell ref="A375:T376"/>
    <mergeCell ref="A377:A378"/>
    <mergeCell ref="B377:B378"/>
    <mergeCell ref="C377:C378"/>
    <mergeCell ref="G377:H377"/>
    <mergeCell ref="I377:J377"/>
    <mergeCell ref="K377:L377"/>
    <mergeCell ref="O377:P377"/>
    <mergeCell ref="S377:T377"/>
    <mergeCell ref="M377:N377"/>
    <mergeCell ref="A1:T2"/>
    <mergeCell ref="A13:T13"/>
    <mergeCell ref="S14:T14"/>
    <mergeCell ref="A17:T17"/>
    <mergeCell ref="A172:T172"/>
    <mergeCell ref="A4:T4"/>
    <mergeCell ref="A5:T5"/>
    <mergeCell ref="A6:T6"/>
    <mergeCell ref="A7:T7"/>
    <mergeCell ref="A9:T9"/>
    <mergeCell ref="A10:T10"/>
    <mergeCell ref="M14:N14"/>
    <mergeCell ref="A325:T325"/>
    <mergeCell ref="C14:C15"/>
    <mergeCell ref="G14:H14"/>
    <mergeCell ref="I14:J14"/>
    <mergeCell ref="K14:L14"/>
    <mergeCell ref="O14:P14"/>
    <mergeCell ref="A14:A15"/>
    <mergeCell ref="B14:B15"/>
  </mergeCells>
  <phoneticPr fontId="45" type="noConversion"/>
  <conditionalFormatting sqref="I453:J454">
    <cfRule type="cellIs" dxfId="1" priority="3" stopIfTrue="1" operator="lessThan">
      <formula>0</formula>
    </cfRule>
  </conditionalFormatting>
  <conditionalFormatting sqref="I456:J456">
    <cfRule type="cellIs" dxfId="0" priority="1" stopIfTrue="1" operator="lessThan">
      <formula>0</formula>
    </cfRule>
  </conditionalFormatting>
  <pageMargins left="0.31496062992125984" right="0.31496062992125984" top="0.35433070866141736" bottom="0.35433070866141736" header="0.31496062992125984" footer="0.31496062992125984"/>
  <pageSetup paperSize="8" scale="42" fitToHeight="5" orientation="landscape" r:id="rId1"/>
  <rowBreaks count="3" manualBreakCount="3">
    <brk id="126" max="17" man="1"/>
    <brk id="248" max="17" man="1"/>
    <brk id="367" max="17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Марина В. Менская</cp:lastModifiedBy>
  <cp:lastPrinted>2025-04-30T10:39:34Z</cp:lastPrinted>
  <dcterms:created xsi:type="dcterms:W3CDTF">2015-09-16T07:43:55Z</dcterms:created>
  <dcterms:modified xsi:type="dcterms:W3CDTF">2025-04-30T10:45:07Z</dcterms:modified>
</cp:coreProperties>
</file>